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ta\UserDATA\gleb\Мои документы\Навигация-25\запрос цен Нефтебазы СНГС\"/>
    </mc:Choice>
  </mc:AlternateContent>
  <bookViews>
    <workbookView xWindow="0" yWindow="0" windowWidth="28800" windowHeight="11730" tabRatio="720" firstSheet="1" activeTab="1"/>
  </bookViews>
  <sheets>
    <sheet name="загрузка (налив) осетрово базис" sheetId="5" r:id="rId1"/>
    <sheet name="индигирка яна " sheetId="15" r:id="rId2"/>
    <sheet name="колыма анабар тикси найба" sheetId="16" r:id="rId3"/>
    <sheet name="Лист1" sheetId="18" r:id="rId4"/>
    <sheet name="группы судов" sheetId="2" r:id="rId5"/>
  </sheets>
  <definedNames>
    <definedName name="_xlnm.Print_Area" localSheetId="0">'загрузка (налив) осетрово базис'!$A$1:$P$84</definedName>
    <definedName name="_xlnm.Print_Area" localSheetId="1">'индигирка яна '!$A$1:$P$131</definedName>
    <definedName name="_xlnm.Print_Area" localSheetId="2">'колыма анабар тикси найба'!$A$1:$P$72</definedName>
  </definedNames>
  <calcPr calcId="162913" refMode="R1C1"/>
</workbook>
</file>

<file path=xl/calcChain.xml><?xml version="1.0" encoding="utf-8"?>
<calcChain xmlns="http://schemas.openxmlformats.org/spreadsheetml/2006/main">
  <c r="P125" i="15" l="1"/>
  <c r="P124" i="15"/>
  <c r="P123" i="15"/>
  <c r="P122" i="15"/>
  <c r="M125" i="15"/>
  <c r="M124" i="15"/>
  <c r="M123" i="15"/>
  <c r="M122" i="15"/>
  <c r="J125" i="15"/>
  <c r="J124" i="15"/>
  <c r="J123" i="15"/>
  <c r="J122" i="15"/>
  <c r="O125" i="15"/>
  <c r="N125" i="15"/>
  <c r="L125" i="15"/>
  <c r="K125" i="15"/>
  <c r="I125" i="15"/>
  <c r="H125" i="15"/>
  <c r="O124" i="15"/>
  <c r="N124" i="15"/>
  <c r="L124" i="15"/>
  <c r="K124" i="15"/>
  <c r="I124" i="15"/>
  <c r="H124" i="15"/>
  <c r="O123" i="15"/>
  <c r="N123" i="15"/>
  <c r="L123" i="15"/>
  <c r="K123" i="15"/>
  <c r="I123" i="15"/>
  <c r="H123" i="15"/>
  <c r="O122" i="15"/>
  <c r="N122" i="15"/>
  <c r="L122" i="15"/>
  <c r="K122" i="15"/>
  <c r="I122" i="15"/>
  <c r="H122" i="15"/>
  <c r="O118" i="15"/>
  <c r="O119" i="15"/>
  <c r="O120" i="15"/>
  <c r="O117" i="15"/>
  <c r="N120" i="15"/>
  <c r="N119" i="15"/>
  <c r="N118" i="15"/>
  <c r="N117" i="15"/>
  <c r="L120" i="15"/>
  <c r="L117" i="15"/>
  <c r="L118" i="15"/>
  <c r="L119" i="15"/>
  <c r="K120" i="15"/>
  <c r="K119" i="15"/>
  <c r="K118" i="15"/>
  <c r="K117" i="15"/>
  <c r="I119" i="15"/>
  <c r="I120" i="15"/>
  <c r="I118" i="15"/>
  <c r="I117" i="15"/>
  <c r="H119" i="15"/>
  <c r="H120" i="15"/>
  <c r="H118" i="15"/>
  <c r="H117" i="15"/>
  <c r="P51" i="15"/>
  <c r="P50" i="15"/>
  <c r="P49" i="15"/>
  <c r="P48" i="15"/>
  <c r="O49" i="15"/>
  <c r="O50" i="15"/>
  <c r="O51" i="15"/>
  <c r="O48" i="15"/>
  <c r="N51" i="15"/>
  <c r="N50" i="15"/>
  <c r="N49" i="15"/>
  <c r="N48" i="15"/>
  <c r="M51" i="15"/>
  <c r="M50" i="15"/>
  <c r="M49" i="15"/>
  <c r="M48" i="15"/>
  <c r="L48" i="15"/>
  <c r="L49" i="15"/>
  <c r="L50" i="15"/>
  <c r="L51" i="15"/>
  <c r="K51" i="15"/>
  <c r="K50" i="15"/>
  <c r="K49" i="15"/>
  <c r="K48" i="15"/>
  <c r="J50" i="15"/>
  <c r="J51" i="15"/>
  <c r="J49" i="15"/>
  <c r="J48" i="15"/>
  <c r="I50" i="15"/>
  <c r="I51" i="15"/>
  <c r="I49" i="15"/>
  <c r="I48" i="15"/>
  <c r="H51" i="15"/>
  <c r="H50" i="15"/>
  <c r="H49" i="15"/>
  <c r="H48" i="15"/>
  <c r="O44" i="15"/>
  <c r="O45" i="15"/>
  <c r="O46" i="15"/>
  <c r="O43" i="15"/>
  <c r="N46" i="15"/>
  <c r="N45" i="15"/>
  <c r="N44" i="15"/>
  <c r="N43" i="15"/>
  <c r="L43" i="15"/>
  <c r="L44" i="15"/>
  <c r="L45" i="15"/>
  <c r="L46" i="15"/>
  <c r="K46" i="15"/>
  <c r="K45" i="15"/>
  <c r="K44" i="15"/>
  <c r="K43" i="15"/>
  <c r="I45" i="15"/>
  <c r="I46" i="15"/>
  <c r="I44" i="15"/>
  <c r="I43" i="15"/>
  <c r="H45" i="15"/>
  <c r="H46" i="15"/>
  <c r="H44" i="15"/>
  <c r="H43" i="15"/>
  <c r="P60" i="16"/>
  <c r="P59" i="16"/>
  <c r="P58" i="16"/>
  <c r="P57" i="16"/>
  <c r="M60" i="16"/>
  <c r="M59" i="16"/>
  <c r="M58" i="16"/>
  <c r="M57" i="16"/>
  <c r="J60" i="16"/>
  <c r="J59" i="16"/>
  <c r="J58" i="16"/>
  <c r="J57" i="16"/>
  <c r="O58" i="16"/>
  <c r="O59" i="16"/>
  <c r="O60" i="16"/>
  <c r="O57" i="16"/>
  <c r="N60" i="16"/>
  <c r="N59" i="16"/>
  <c r="N58" i="16"/>
  <c r="N57" i="16"/>
  <c r="L60" i="16"/>
  <c r="L57" i="16"/>
  <c r="L58" i="16"/>
  <c r="L59" i="16"/>
  <c r="K60" i="16"/>
  <c r="K59" i="16"/>
  <c r="K58" i="16"/>
  <c r="K57" i="16"/>
  <c r="I59" i="16"/>
  <c r="I60" i="16"/>
  <c r="I58" i="16"/>
  <c r="I57" i="16"/>
  <c r="H60" i="16"/>
  <c r="H59" i="16"/>
  <c r="H58" i="16"/>
  <c r="H57" i="16"/>
  <c r="P109" i="15"/>
  <c r="P108" i="15"/>
  <c r="P107" i="15"/>
  <c r="P106" i="15"/>
  <c r="O107" i="15"/>
  <c r="O108" i="15"/>
  <c r="O109" i="15"/>
  <c r="O106" i="15"/>
  <c r="N109" i="15"/>
  <c r="N108" i="15"/>
  <c r="N107" i="15"/>
  <c r="N106" i="15"/>
  <c r="M109" i="15"/>
  <c r="M108" i="15"/>
  <c r="M107" i="15"/>
  <c r="M106" i="15"/>
  <c r="L107" i="15"/>
  <c r="L108" i="15"/>
  <c r="L109" i="15"/>
  <c r="K109" i="15"/>
  <c r="K108" i="15"/>
  <c r="K107" i="15"/>
  <c r="L106" i="15"/>
  <c r="K106" i="15"/>
  <c r="J108" i="15"/>
  <c r="J109" i="15"/>
  <c r="J107" i="15"/>
  <c r="J106" i="15"/>
  <c r="I108" i="15"/>
  <c r="I109" i="15"/>
  <c r="I107" i="15"/>
  <c r="I106" i="15"/>
  <c r="H109" i="15"/>
  <c r="H108" i="15"/>
  <c r="H107" i="15"/>
  <c r="H106" i="15"/>
  <c r="P103" i="15"/>
  <c r="O103" i="15"/>
  <c r="N103" i="15"/>
  <c r="M103" i="15"/>
  <c r="L103" i="15"/>
  <c r="K103" i="15"/>
  <c r="J103" i="15"/>
  <c r="I103" i="15"/>
  <c r="H103" i="15"/>
  <c r="P102" i="15"/>
  <c r="O102" i="15"/>
  <c r="N102" i="15"/>
  <c r="M102" i="15"/>
  <c r="L102" i="15"/>
  <c r="K102" i="15"/>
  <c r="J102" i="15"/>
  <c r="I102" i="15"/>
  <c r="H102" i="15"/>
  <c r="P101" i="15"/>
  <c r="O101" i="15"/>
  <c r="N101" i="15"/>
  <c r="M101" i="15"/>
  <c r="L101" i="15"/>
  <c r="K101" i="15"/>
  <c r="J101" i="15"/>
  <c r="I101" i="15"/>
  <c r="H101" i="15"/>
  <c r="P100" i="15"/>
  <c r="O100" i="15"/>
  <c r="N100" i="15"/>
  <c r="M100" i="15"/>
  <c r="L100" i="15"/>
  <c r="K100" i="15"/>
  <c r="J100" i="15"/>
  <c r="I100" i="15"/>
  <c r="H100" i="15"/>
  <c r="P97" i="15"/>
  <c r="P96" i="15"/>
  <c r="P95" i="15"/>
  <c r="P94" i="15"/>
  <c r="O94" i="15"/>
  <c r="O95" i="15"/>
  <c r="O96" i="15"/>
  <c r="O97" i="15"/>
  <c r="N97" i="15"/>
  <c r="N96" i="15"/>
  <c r="N95" i="15"/>
  <c r="N94" i="15"/>
  <c r="M97" i="15"/>
  <c r="M96" i="15"/>
  <c r="M95" i="15"/>
  <c r="M94" i="15"/>
  <c r="L94" i="15"/>
  <c r="L95" i="15"/>
  <c r="L96" i="15"/>
  <c r="L97" i="15"/>
  <c r="K97" i="15"/>
  <c r="K96" i="15"/>
  <c r="K95" i="15"/>
  <c r="K94" i="15"/>
  <c r="J97" i="15"/>
  <c r="J96" i="15"/>
  <c r="J95" i="15"/>
  <c r="J94" i="15"/>
  <c r="I94" i="15"/>
  <c r="I95" i="15"/>
  <c r="I96" i="15"/>
  <c r="I97" i="15"/>
  <c r="H97" i="15"/>
  <c r="H96" i="15"/>
  <c r="H95" i="15"/>
  <c r="H94" i="15"/>
  <c r="P24" i="16" l="1"/>
  <c r="P23" i="16"/>
  <c r="P22" i="16"/>
  <c r="P21" i="16"/>
  <c r="O24" i="16"/>
  <c r="O23" i="16"/>
  <c r="O22" i="16"/>
  <c r="O21" i="16"/>
  <c r="N24" i="16"/>
  <c r="N23" i="16"/>
  <c r="N22" i="16"/>
  <c r="N21" i="16"/>
  <c r="M24" i="16"/>
  <c r="M23" i="16"/>
  <c r="M22" i="16"/>
  <c r="M21" i="16"/>
  <c r="L24" i="16"/>
  <c r="L23" i="16"/>
  <c r="L22" i="16"/>
  <c r="L21" i="16"/>
  <c r="K24" i="16"/>
  <c r="K23" i="16"/>
  <c r="K22" i="16"/>
  <c r="K21" i="16"/>
  <c r="J24" i="16"/>
  <c r="J23" i="16"/>
  <c r="J22" i="16"/>
  <c r="J21" i="16"/>
  <c r="I24" i="16"/>
  <c r="I23" i="16"/>
  <c r="I22" i="16"/>
  <c r="I21" i="16"/>
  <c r="H24" i="16"/>
  <c r="H23" i="16"/>
  <c r="H22" i="16"/>
  <c r="H21" i="16"/>
  <c r="P19" i="16"/>
  <c r="P18" i="16"/>
  <c r="P17" i="16"/>
  <c r="P16" i="16"/>
  <c r="O19" i="16"/>
  <c r="O18" i="16"/>
  <c r="O17" i="16"/>
  <c r="O16" i="16"/>
  <c r="N19" i="16"/>
  <c r="N18" i="16"/>
  <c r="N17" i="16"/>
  <c r="N16" i="16"/>
  <c r="M19" i="16"/>
  <c r="M18" i="16"/>
  <c r="M17" i="16"/>
  <c r="M16" i="16"/>
  <c r="L19" i="16"/>
  <c r="L18" i="16"/>
  <c r="L17" i="16"/>
  <c r="L16" i="16"/>
  <c r="K19" i="16"/>
  <c r="K18" i="16"/>
  <c r="K17" i="16"/>
  <c r="K16" i="16"/>
  <c r="J19" i="16"/>
  <c r="J18" i="16"/>
  <c r="J17" i="16"/>
  <c r="J16" i="16"/>
  <c r="I19" i="16"/>
  <c r="I18" i="16"/>
  <c r="I17" i="16"/>
  <c r="I16" i="16"/>
  <c r="H19" i="16"/>
  <c r="H18" i="16"/>
  <c r="H17" i="16"/>
  <c r="H16" i="16"/>
  <c r="O46" i="16"/>
  <c r="N46" i="16"/>
  <c r="K46" i="16"/>
  <c r="L46" i="16"/>
  <c r="H46" i="16"/>
  <c r="I46" i="16"/>
  <c r="O45" i="16"/>
  <c r="N45" i="16"/>
  <c r="L45" i="16"/>
  <c r="K45" i="16"/>
  <c r="I45" i="16"/>
  <c r="H45" i="16"/>
  <c r="O44" i="16"/>
  <c r="N44" i="16"/>
  <c r="L44" i="16"/>
  <c r="K44" i="16"/>
  <c r="I44" i="16"/>
  <c r="H44" i="16"/>
  <c r="O43" i="16"/>
  <c r="N43" i="16"/>
  <c r="L43" i="16"/>
  <c r="K43" i="16"/>
  <c r="I43" i="16"/>
  <c r="H43" i="16"/>
  <c r="H49" i="16" l="1"/>
  <c r="I49" i="16"/>
  <c r="J49" i="16"/>
  <c r="K49" i="16"/>
  <c r="L49" i="16"/>
  <c r="M49" i="16"/>
  <c r="N49" i="16"/>
  <c r="O49" i="16"/>
  <c r="P49" i="16"/>
  <c r="H50" i="16"/>
  <c r="I50" i="16"/>
  <c r="J50" i="16"/>
  <c r="K50" i="16"/>
  <c r="L50" i="16"/>
  <c r="M50" i="16"/>
  <c r="N50" i="16"/>
  <c r="O50" i="16"/>
  <c r="P50" i="16"/>
  <c r="H51" i="16"/>
  <c r="I51" i="16"/>
  <c r="J51" i="16"/>
  <c r="K51" i="16"/>
  <c r="L51" i="16"/>
  <c r="M51" i="16"/>
  <c r="N51" i="16"/>
  <c r="O51" i="16"/>
  <c r="P51" i="16"/>
  <c r="H52" i="16"/>
  <c r="I52" i="16"/>
  <c r="J52" i="16"/>
  <c r="K52" i="16"/>
  <c r="L52" i="16"/>
  <c r="M52" i="16"/>
  <c r="N52" i="16"/>
  <c r="O52" i="16"/>
  <c r="P52" i="16"/>
  <c r="D91" i="15"/>
  <c r="O86" i="15"/>
  <c r="N86" i="15"/>
  <c r="L86" i="15"/>
  <c r="K86" i="15"/>
  <c r="I86" i="15"/>
  <c r="H86" i="15"/>
  <c r="D86" i="15"/>
  <c r="O85" i="15"/>
  <c r="N85" i="15"/>
  <c r="L85" i="15"/>
  <c r="K85" i="15"/>
  <c r="I85" i="15"/>
  <c r="H85" i="15"/>
  <c r="O84" i="15"/>
  <c r="N84" i="15"/>
  <c r="L84" i="15"/>
  <c r="K84" i="15"/>
  <c r="I84" i="15"/>
  <c r="H84" i="15"/>
  <c r="O83" i="15"/>
  <c r="N83" i="15"/>
  <c r="L83" i="15"/>
  <c r="K83" i="15"/>
  <c r="I83" i="15"/>
  <c r="H83" i="15"/>
  <c r="D78" i="15"/>
  <c r="O71" i="15"/>
  <c r="N71" i="15"/>
  <c r="L71" i="15"/>
  <c r="K71" i="15"/>
  <c r="I71" i="15"/>
  <c r="H71" i="15"/>
  <c r="O70" i="15"/>
  <c r="N70" i="15"/>
  <c r="L70" i="15"/>
  <c r="K70" i="15"/>
  <c r="I70" i="15"/>
  <c r="H70" i="15"/>
  <c r="O69" i="15"/>
  <c r="N69" i="15"/>
  <c r="L69" i="15"/>
  <c r="K69" i="15"/>
  <c r="I69" i="15"/>
  <c r="H69" i="15"/>
  <c r="D69" i="15"/>
  <c r="O68" i="15"/>
  <c r="N68" i="15"/>
  <c r="L68" i="15"/>
  <c r="K68" i="15"/>
  <c r="I68" i="15"/>
  <c r="H68" i="15"/>
  <c r="D65" i="15"/>
  <c r="D38" i="16"/>
  <c r="P37" i="16"/>
  <c r="O37" i="16"/>
  <c r="N37" i="16"/>
  <c r="M37" i="16"/>
  <c r="L37" i="16"/>
  <c r="K37" i="16"/>
  <c r="J37" i="16"/>
  <c r="I37" i="16"/>
  <c r="H37" i="16"/>
  <c r="P36" i="16"/>
  <c r="O36" i="16"/>
  <c r="N36" i="16"/>
  <c r="M36" i="16"/>
  <c r="L36" i="16"/>
  <c r="K36" i="16"/>
  <c r="J36" i="16"/>
  <c r="I36" i="16"/>
  <c r="H36" i="16"/>
  <c r="P35" i="16"/>
  <c r="O35" i="16"/>
  <c r="N35" i="16"/>
  <c r="M35" i="16"/>
  <c r="L35" i="16"/>
  <c r="K35" i="16"/>
  <c r="J35" i="16"/>
  <c r="I35" i="16"/>
  <c r="H35" i="16"/>
  <c r="P34" i="16"/>
  <c r="O34" i="16"/>
  <c r="N34" i="16"/>
  <c r="M34" i="16"/>
  <c r="L34" i="16"/>
  <c r="K34" i="16"/>
  <c r="J34" i="16"/>
  <c r="I34" i="16"/>
  <c r="H34" i="16"/>
  <c r="P35" i="15" l="1"/>
  <c r="O35" i="15"/>
  <c r="N35" i="15"/>
  <c r="M35" i="15"/>
  <c r="L35" i="15"/>
  <c r="K35" i="15"/>
  <c r="J35" i="15"/>
  <c r="I35" i="15"/>
  <c r="H35" i="15"/>
  <c r="P34" i="15"/>
  <c r="O34" i="15"/>
  <c r="N34" i="15"/>
  <c r="M34" i="15"/>
  <c r="L34" i="15"/>
  <c r="K34" i="15"/>
  <c r="J34" i="15"/>
  <c r="I34" i="15"/>
  <c r="H34" i="15"/>
  <c r="P33" i="15"/>
  <c r="O33" i="15"/>
  <c r="N33" i="15"/>
  <c r="M33" i="15"/>
  <c r="L33" i="15"/>
  <c r="K33" i="15"/>
  <c r="J33" i="15"/>
  <c r="I33" i="15"/>
  <c r="H33" i="15"/>
  <c r="P32" i="15"/>
  <c r="O32" i="15"/>
  <c r="N32" i="15"/>
  <c r="M32" i="15"/>
  <c r="L32" i="15"/>
  <c r="K32" i="15"/>
  <c r="J32" i="15"/>
  <c r="I32" i="15"/>
  <c r="H32" i="15"/>
  <c r="D27" i="15" l="1"/>
  <c r="P26" i="15"/>
  <c r="O26" i="15"/>
  <c r="N26" i="15"/>
  <c r="M26" i="15"/>
  <c r="L26" i="15"/>
  <c r="K26" i="15"/>
  <c r="J26" i="15"/>
  <c r="I26" i="15"/>
  <c r="H26" i="15"/>
  <c r="P25" i="15"/>
  <c r="O25" i="15"/>
  <c r="N25" i="15"/>
  <c r="M25" i="15"/>
  <c r="L25" i="15"/>
  <c r="K25" i="15"/>
  <c r="J25" i="15"/>
  <c r="I25" i="15"/>
  <c r="H25" i="15"/>
  <c r="P24" i="15"/>
  <c r="O24" i="15"/>
  <c r="N24" i="15"/>
  <c r="M24" i="15"/>
  <c r="L24" i="15"/>
  <c r="K24" i="15"/>
  <c r="J24" i="15"/>
  <c r="I24" i="15"/>
  <c r="H24" i="15"/>
  <c r="P23" i="15"/>
  <c r="O23" i="15"/>
  <c r="N23" i="15"/>
  <c r="M23" i="15"/>
  <c r="L23" i="15"/>
  <c r="K23" i="15"/>
  <c r="J23" i="15"/>
  <c r="I23" i="15"/>
  <c r="H23" i="15"/>
  <c r="P19" i="15"/>
  <c r="O19" i="15"/>
  <c r="N19" i="15"/>
  <c r="M19" i="15"/>
  <c r="L19" i="15"/>
  <c r="K19" i="15"/>
  <c r="J19" i="15"/>
  <c r="I19" i="15"/>
  <c r="H19" i="15"/>
  <c r="P18" i="15"/>
  <c r="O18" i="15"/>
  <c r="N18" i="15"/>
  <c r="M18" i="15"/>
  <c r="L18" i="15"/>
  <c r="K18" i="15"/>
  <c r="J18" i="15"/>
  <c r="I18" i="15"/>
  <c r="H18" i="15"/>
  <c r="P17" i="15"/>
  <c r="O17" i="15"/>
  <c r="N17" i="15"/>
  <c r="M17" i="15"/>
  <c r="L17" i="15"/>
  <c r="K17" i="15"/>
  <c r="J17" i="15"/>
  <c r="I17" i="15"/>
  <c r="H17" i="15"/>
  <c r="P16" i="15"/>
  <c r="O16" i="15"/>
  <c r="N16" i="15"/>
  <c r="M16" i="15"/>
  <c r="L16" i="15"/>
  <c r="K16" i="15"/>
  <c r="J16" i="15"/>
  <c r="I16" i="15"/>
  <c r="H16" i="15"/>
  <c r="P12" i="15"/>
  <c r="O12" i="15"/>
  <c r="N12" i="15"/>
  <c r="M12" i="15"/>
  <c r="L12" i="15"/>
  <c r="K12" i="15"/>
  <c r="J12" i="15"/>
  <c r="I12" i="15"/>
  <c r="H12" i="15"/>
  <c r="P11" i="15"/>
  <c r="O11" i="15"/>
  <c r="N11" i="15"/>
  <c r="M11" i="15"/>
  <c r="L11" i="15"/>
  <c r="K11" i="15"/>
  <c r="J11" i="15"/>
  <c r="I11" i="15"/>
  <c r="H11" i="15"/>
  <c r="P10" i="15"/>
  <c r="O10" i="15"/>
  <c r="N10" i="15"/>
  <c r="M10" i="15"/>
  <c r="L10" i="15"/>
  <c r="K10" i="15"/>
  <c r="J10" i="15"/>
  <c r="I10" i="15"/>
  <c r="H10" i="15"/>
  <c r="P9" i="15"/>
  <c r="O9" i="15"/>
  <c r="N9" i="15"/>
  <c r="M9" i="15"/>
  <c r="L9" i="15"/>
  <c r="K9" i="15"/>
  <c r="J9" i="15"/>
  <c r="I9" i="15"/>
  <c r="H9" i="15"/>
</calcChain>
</file>

<file path=xl/sharedStrings.xml><?xml version="1.0" encoding="utf-8"?>
<sst xmlns="http://schemas.openxmlformats.org/spreadsheetml/2006/main" count="488" uniqueCount="98">
  <si>
    <t>нефтебаза</t>
  </si>
  <si>
    <t>Грузоподьемность судов, тонн</t>
  </si>
  <si>
    <t>601-2500 (танкеры)                             1001-2500 (баржи)</t>
  </si>
  <si>
    <t>2501 и более</t>
  </si>
  <si>
    <t>светлые нефтепродукты</t>
  </si>
  <si>
    <t>бензин</t>
  </si>
  <si>
    <t>темные нефтепродукты</t>
  </si>
  <si>
    <t>400-600 (танкеры)                      400-1000 (баржи)</t>
  </si>
  <si>
    <t>15001-50000</t>
  </si>
  <si>
    <t>50001 и более</t>
  </si>
  <si>
    <t>Длина трубопровода, м</t>
  </si>
  <si>
    <t>нкт</t>
  </si>
  <si>
    <t>разница отметок уровня воды и нефтебазы, м</t>
  </si>
  <si>
    <t>1 причал</t>
  </si>
  <si>
    <t>ДТ</t>
  </si>
  <si>
    <t>Всего</t>
  </si>
  <si>
    <t>15001-50000 тн</t>
  </si>
  <si>
    <t>базисная</t>
  </si>
  <si>
    <t>Осетрово (загрузка/налив)</t>
  </si>
  <si>
    <t>2 причал</t>
  </si>
  <si>
    <t>до 5000 тн</t>
  </si>
  <si>
    <t>4 причал</t>
  </si>
  <si>
    <t>5 причал</t>
  </si>
  <si>
    <t>6 причал</t>
  </si>
  <si>
    <t>Диаметр трубопрвода, мм</t>
  </si>
  <si>
    <t>1 группа                                 400-600 (танкеры)                        400-1000 (баржи)</t>
  </si>
  <si>
    <t>2 группа                                   601-2500 (танкеры)                             1001-2500 (баржи)</t>
  </si>
  <si>
    <t xml:space="preserve">3 группа                                     2501 и более </t>
  </si>
  <si>
    <t>414ВМ</t>
  </si>
  <si>
    <t>414В</t>
  </si>
  <si>
    <t>танкеры</t>
  </si>
  <si>
    <t>баржи</t>
  </si>
  <si>
    <t>Р77</t>
  </si>
  <si>
    <t>1754Б</t>
  </si>
  <si>
    <t>1754БМ</t>
  </si>
  <si>
    <t>СК-2000КН</t>
  </si>
  <si>
    <t>СК-2000КМН</t>
  </si>
  <si>
    <t>БН-2000</t>
  </si>
  <si>
    <t>КН-16801</t>
  </si>
  <si>
    <t>КМ-16801</t>
  </si>
  <si>
    <t>16802М</t>
  </si>
  <si>
    <t>16800НПБ</t>
  </si>
  <si>
    <t>16800Н</t>
  </si>
  <si>
    <t>16800Н1</t>
  </si>
  <si>
    <t>Группы судов</t>
  </si>
  <si>
    <t>филиал Ленской нефтебазы АО "Саханефтегазсбыт"</t>
  </si>
  <si>
    <t>3 причал</t>
  </si>
  <si>
    <t>ДТА</t>
  </si>
  <si>
    <t>ДТЛ</t>
  </si>
  <si>
    <t>ДТЗ</t>
  </si>
  <si>
    <t>ТС-1</t>
  </si>
  <si>
    <t>Аи-95</t>
  </si>
  <si>
    <t>Аи-92</t>
  </si>
  <si>
    <t>филиал Олекминской нефтебазы АО "Саханефтегазсбыт"</t>
  </si>
  <si>
    <t>5001-15000 тн</t>
  </si>
  <si>
    <t>гккт</t>
  </si>
  <si>
    <t>филиал Якутской нефтебазы АО "Саханефтегазсбыт"</t>
  </si>
  <si>
    <t>от -1 до 1</t>
  </si>
  <si>
    <t>100 и менее</t>
  </si>
  <si>
    <t>филиал Нижнеянской нефтебазы АО "Саханефтегазсбыт"</t>
  </si>
  <si>
    <t>филиал Чокурдахской нефтебазы АО "Саханефтегазсбыт"</t>
  </si>
  <si>
    <t>филиал Белогорской нефтебазы АО "Саханефтегазсбыт"</t>
  </si>
  <si>
    <t>филиал Нижнеколымской нефтебазы АО "Саханефтегазсбыт"</t>
  </si>
  <si>
    <t>Причал 1</t>
  </si>
  <si>
    <t>от 21 до 43</t>
  </si>
  <si>
    <t>Аи-76</t>
  </si>
  <si>
    <t>Загрузка (налив)</t>
  </si>
  <si>
    <t>Разгрузка (слив)</t>
  </si>
  <si>
    <t>навигационный грузооборот на причале 2016 г, тонн</t>
  </si>
  <si>
    <t xml:space="preserve"> 21-43</t>
  </si>
  <si>
    <t>Грузовладелец _____________________</t>
  </si>
  <si>
    <t>Перевозчик _____________________</t>
  </si>
  <si>
    <t>перевозки нефтеналивных грузов</t>
  </si>
  <si>
    <t>Усть-Кутский цех АО Иркутскнефтепродукт</t>
  </si>
  <si>
    <t>15000 - 50000 тн</t>
  </si>
  <si>
    <t>Нефтебаза Бункерная база-Терминал Север</t>
  </si>
  <si>
    <t>Нефтебаза Ленский транзит</t>
  </si>
  <si>
    <t>Осетрово (выгрузка/слив)</t>
  </si>
  <si>
    <t xml:space="preserve">Единые судо-часовые нормы загрузки-разгрузки нефтеналивных судов </t>
  </si>
  <si>
    <t>Расчет произведен согласно судо-часовым нормам загрузки-разгрузки судов, утвержденных Департаментом речного транспорта Министерства транспорта РФ (с изменением и дополнениями по состоянию на 01.09.1994 г.)</t>
  </si>
  <si>
    <t>В расчете использованы данные предоставленные владельцами нефтебаз. Для нефтебаз не предоставивших необходимую информацию нормативы приняты по средним (базисным) технико-эксплуатационным характеристикам нефтебаз.</t>
  </si>
  <si>
    <t>филиал Усть-Куйгинской нефтебазы АО "Саханефтегазсбыт"</t>
  </si>
  <si>
    <t>п. Тикси ГУП ЖКХ РС(Я)</t>
  </si>
  <si>
    <t>п. Найба ГУП ЖКХ РС(Я)</t>
  </si>
  <si>
    <t>п. Юрюнг-Хая АО "Алмазы Анабара"</t>
  </si>
  <si>
    <t>базис</t>
  </si>
  <si>
    <t>Бензин</t>
  </si>
  <si>
    <t>от 5000-15000</t>
  </si>
  <si>
    <t>до 560м</t>
  </si>
  <si>
    <t>бензины</t>
  </si>
  <si>
    <t>2236-8078</t>
  </si>
  <si>
    <t>1348-8078</t>
  </si>
  <si>
    <t>400-600 (танкеры)                           400-1000 (баржи)</t>
  </si>
  <si>
    <t>Приложение №4</t>
  </si>
  <si>
    <t>к  Договору №______________  от  «___» «_______________»  2020 г.</t>
  </si>
  <si>
    <t>Приложение № 4</t>
  </si>
  <si>
    <t>навигационный грузооборот на причале, тонн</t>
  </si>
  <si>
    <t>к  Договору №______________  от  «___» «_______________»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</si>
</sst>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1">
    <xf numFmtId="0" fontId="0" fillId="0" borderId="0" xfId="0"/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textRotation="90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center" vertical="center" wrapText="1"/>
    </xf>
    <xf numFmtId="3" fontId="2" fillId="0" borderId="27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37" xfId="0" applyNumberFormat="1" applyFont="1" applyBorder="1" applyAlignment="1">
      <alignment horizontal="center" vertical="center" wrapText="1"/>
    </xf>
    <xf numFmtId="3" fontId="2" fillId="0" borderId="38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1" fillId="0" borderId="33" xfId="0" applyNumberFormat="1" applyFont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center" vertical="center" wrapText="1"/>
    </xf>
    <xf numFmtId="3" fontId="2" fillId="0" borderId="28" xfId="0" applyNumberFormat="1" applyFont="1" applyFill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textRotation="90" wrapText="1"/>
    </xf>
    <xf numFmtId="3" fontId="8" fillId="0" borderId="0" xfId="0" applyNumberFormat="1" applyFont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Fill="1" applyBorder="1" applyAlignment="1">
      <alignment horizontal="center" vertical="center" wrapText="1"/>
    </xf>
    <xf numFmtId="3" fontId="2" fillId="0" borderId="51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textRotation="90" wrapText="1"/>
    </xf>
    <xf numFmtId="3" fontId="2" fillId="0" borderId="0" xfId="0" applyNumberFormat="1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vertical="center"/>
    </xf>
    <xf numFmtId="3" fontId="1" fillId="0" borderId="0" xfId="0" applyNumberFormat="1" applyFont="1" applyFill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3" fontId="1" fillId="0" borderId="49" xfId="0" applyNumberFormat="1" applyFont="1" applyFill="1" applyBorder="1" applyAlignment="1">
      <alignment horizontal="center" vertical="center" wrapText="1"/>
    </xf>
    <xf numFmtId="3" fontId="1" fillId="0" borderId="50" xfId="0" applyNumberFormat="1" applyFont="1" applyFill="1" applyBorder="1" applyAlignment="1">
      <alignment horizontal="center" vertical="center" wrapText="1"/>
    </xf>
    <xf numFmtId="3" fontId="1" fillId="0" borderId="48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3" fillId="0" borderId="19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vertical="center" wrapText="1"/>
    </xf>
    <xf numFmtId="3" fontId="3" fillId="0" borderId="19" xfId="0" applyNumberFormat="1" applyFont="1" applyFill="1" applyBorder="1" applyAlignment="1">
      <alignment vertical="center" wrapText="1"/>
    </xf>
    <xf numFmtId="3" fontId="5" fillId="0" borderId="14" xfId="0" applyNumberFormat="1" applyFont="1" applyFill="1" applyBorder="1" applyAlignment="1">
      <alignment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textRotation="90" wrapText="1"/>
    </xf>
    <xf numFmtId="3" fontId="1" fillId="0" borderId="19" xfId="0" applyNumberFormat="1" applyFont="1" applyBorder="1" applyAlignment="1">
      <alignment vertical="center" wrapText="1"/>
    </xf>
    <xf numFmtId="3" fontId="5" fillId="0" borderId="19" xfId="0" applyNumberFormat="1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3" fillId="0" borderId="35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2" fillId="0" borderId="51" xfId="0" applyNumberFormat="1" applyFont="1" applyBorder="1" applyAlignment="1">
      <alignment horizontal="center" vertical="center" wrapText="1"/>
    </xf>
    <xf numFmtId="3" fontId="1" fillId="0" borderId="51" xfId="0" applyNumberFormat="1" applyFont="1" applyBorder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3" fontId="1" fillId="0" borderId="51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0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7" fillId="0" borderId="39" xfId="0" applyNumberFormat="1" applyFont="1" applyFill="1" applyBorder="1" applyAlignment="1">
      <alignment horizontal="left" vertical="center" wrapText="1"/>
    </xf>
    <xf numFmtId="3" fontId="7" fillId="0" borderId="40" xfId="0" applyNumberFormat="1" applyFont="1" applyFill="1" applyBorder="1" applyAlignment="1">
      <alignment horizontal="left" vertical="center" wrapText="1"/>
    </xf>
    <xf numFmtId="3" fontId="7" fillId="0" borderId="41" xfId="0" applyNumberFormat="1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left" vertical="center" wrapText="1"/>
    </xf>
    <xf numFmtId="3" fontId="9" fillId="0" borderId="28" xfId="0" applyNumberFormat="1" applyFont="1" applyBorder="1" applyAlignment="1">
      <alignment horizontal="left" vertical="center" wrapText="1"/>
    </xf>
    <xf numFmtId="3" fontId="3" fillId="2" borderId="45" xfId="0" applyNumberFormat="1" applyFont="1" applyFill="1" applyBorder="1" applyAlignment="1">
      <alignment horizontal="center" vertical="center" textRotation="90" wrapText="1"/>
    </xf>
    <xf numFmtId="3" fontId="3" fillId="2" borderId="46" xfId="0" applyNumberFormat="1" applyFont="1" applyFill="1" applyBorder="1" applyAlignment="1">
      <alignment horizontal="center" vertical="center" textRotation="90" wrapText="1"/>
    </xf>
    <xf numFmtId="3" fontId="3" fillId="2" borderId="47" xfId="0" applyNumberFormat="1" applyFont="1" applyFill="1" applyBorder="1" applyAlignment="1">
      <alignment horizontal="center" vertical="center" textRotation="90" wrapText="1"/>
    </xf>
    <xf numFmtId="3" fontId="7" fillId="2" borderId="39" xfId="0" applyNumberFormat="1" applyFont="1" applyFill="1" applyBorder="1" applyAlignment="1">
      <alignment horizontal="center" vertical="center" wrapText="1"/>
    </xf>
    <xf numFmtId="3" fontId="7" fillId="2" borderId="40" xfId="0" applyNumberFormat="1" applyFont="1" applyFill="1" applyBorder="1" applyAlignment="1">
      <alignment horizontal="center" vertical="center" wrapText="1"/>
    </xf>
    <xf numFmtId="3" fontId="7" fillId="2" borderId="41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textRotation="90" wrapText="1"/>
    </xf>
    <xf numFmtId="3" fontId="3" fillId="2" borderId="16" xfId="0" applyNumberFormat="1" applyFont="1" applyFill="1" applyBorder="1" applyAlignment="1">
      <alignment horizontal="center" vertical="center" textRotation="90" wrapText="1"/>
    </xf>
    <xf numFmtId="3" fontId="3" fillId="2" borderId="18" xfId="0" applyNumberFormat="1" applyFont="1" applyFill="1" applyBorder="1" applyAlignment="1">
      <alignment horizontal="center" vertical="center" textRotation="90" wrapText="1"/>
    </xf>
    <xf numFmtId="3" fontId="8" fillId="0" borderId="0" xfId="0" applyNumberFormat="1" applyFont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9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10" fillId="0" borderId="39" xfId="0" applyNumberFormat="1" applyFont="1" applyFill="1" applyBorder="1" applyAlignment="1">
      <alignment horizontal="center" vertical="center" wrapText="1"/>
    </xf>
    <xf numFmtId="3" fontId="10" fillId="0" borderId="40" xfId="0" applyNumberFormat="1" applyFont="1" applyFill="1" applyBorder="1" applyAlignment="1">
      <alignment horizontal="center" vertical="center" wrapText="1"/>
    </xf>
    <xf numFmtId="3" fontId="10" fillId="0" borderId="41" xfId="0" applyNumberFormat="1" applyFont="1" applyFill="1" applyBorder="1" applyAlignment="1">
      <alignment horizontal="center" vertical="center" wrapText="1"/>
    </xf>
    <xf numFmtId="3" fontId="2" fillId="0" borderId="54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2" fillId="0" borderId="28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31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35" xfId="0" applyNumberFormat="1" applyFont="1" applyFill="1" applyBorder="1" applyAlignment="1">
      <alignment horizontal="center" vertical="center" wrapText="1"/>
    </xf>
    <xf numFmtId="3" fontId="2" fillId="0" borderId="32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2" fillId="0" borderId="36" xfId="0" applyNumberFormat="1" applyFont="1" applyFill="1" applyBorder="1" applyAlignment="1">
      <alignment horizontal="center" vertical="center" wrapText="1"/>
    </xf>
    <xf numFmtId="3" fontId="2" fillId="0" borderId="40" xfId="0" applyNumberFormat="1" applyFont="1" applyFill="1" applyBorder="1" applyAlignment="1">
      <alignment horizontal="center" vertical="center" wrapText="1"/>
    </xf>
    <xf numFmtId="3" fontId="3" fillId="0" borderId="31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35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53" xfId="0" applyNumberFormat="1" applyFont="1" applyBorder="1" applyAlignment="1">
      <alignment horizontal="center" vertical="center" wrapText="1"/>
    </xf>
    <xf numFmtId="3" fontId="1" fillId="0" borderId="60" xfId="0" applyNumberFormat="1" applyFont="1" applyBorder="1" applyAlignment="1">
      <alignment horizontal="center" vertical="center" wrapText="1"/>
    </xf>
    <xf numFmtId="3" fontId="1" fillId="0" borderId="61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59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3" fontId="1" fillId="0" borderId="29" xfId="0" applyNumberFormat="1" applyFont="1" applyBorder="1" applyAlignment="1">
      <alignment horizontal="center" vertical="center" wrapText="1"/>
    </xf>
    <xf numFmtId="3" fontId="1" fillId="0" borderId="30" xfId="0" applyNumberFormat="1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3" fontId="1" fillId="0" borderId="25" xfId="0" applyNumberFormat="1" applyFont="1" applyBorder="1" applyAlignment="1">
      <alignment horizontal="center" vertical="center" wrapText="1"/>
    </xf>
    <xf numFmtId="3" fontId="1" fillId="0" borderId="33" xfId="0" applyNumberFormat="1" applyFont="1" applyBorder="1" applyAlignment="1">
      <alignment horizontal="center" vertical="center" wrapText="1"/>
    </xf>
    <xf numFmtId="3" fontId="1" fillId="0" borderId="34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3" fontId="10" fillId="0" borderId="29" xfId="0" applyNumberFormat="1" applyFont="1" applyBorder="1" applyAlignment="1">
      <alignment horizontal="center" vertical="center" wrapText="1"/>
    </xf>
    <xf numFmtId="3" fontId="10" fillId="0" borderId="54" xfId="0" applyNumberFormat="1" applyFont="1" applyBorder="1" applyAlignment="1">
      <alignment horizontal="center" vertical="center" wrapText="1"/>
    </xf>
    <xf numFmtId="3" fontId="10" fillId="0" borderId="55" xfId="0" applyNumberFormat="1" applyFont="1" applyBorder="1" applyAlignment="1">
      <alignment horizontal="center" vertical="center" wrapText="1"/>
    </xf>
    <xf numFmtId="3" fontId="1" fillId="2" borderId="39" xfId="0" applyNumberFormat="1" applyFont="1" applyFill="1" applyBorder="1" applyAlignment="1">
      <alignment horizontal="center" vertical="center" wrapText="1"/>
    </xf>
    <xf numFmtId="3" fontId="1" fillId="2" borderId="40" xfId="0" applyNumberFormat="1" applyFont="1" applyFill="1" applyBorder="1" applyAlignment="1">
      <alignment horizontal="center" vertical="center" wrapText="1"/>
    </xf>
    <xf numFmtId="3" fontId="1" fillId="2" borderId="41" xfId="0" applyNumberFormat="1" applyFont="1" applyFill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52" xfId="0" applyNumberFormat="1" applyFont="1" applyBorder="1" applyAlignment="1">
      <alignment horizontal="center" vertical="center" wrapText="1"/>
    </xf>
    <xf numFmtId="3" fontId="10" fillId="0" borderId="48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horizontal="center" vertical="center" wrapText="1"/>
    </xf>
    <xf numFmtId="3" fontId="7" fillId="3" borderId="33" xfId="0" applyNumberFormat="1" applyFont="1" applyFill="1" applyBorder="1" applyAlignment="1">
      <alignment horizontal="center"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7" fillId="3" borderId="24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horizontal="right" vertical="center"/>
    </xf>
    <xf numFmtId="3" fontId="2" fillId="0" borderId="3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5" xfId="0" applyNumberFormat="1" applyFont="1" applyBorder="1" applyAlignment="1">
      <alignment horizontal="center" vertical="center" wrapText="1"/>
    </xf>
    <xf numFmtId="3" fontId="5" fillId="2" borderId="16" xfId="0" applyNumberFormat="1" applyFont="1" applyFill="1" applyBorder="1" applyAlignment="1">
      <alignment horizontal="center" vertical="center" textRotation="90" wrapText="1"/>
    </xf>
    <xf numFmtId="3" fontId="5" fillId="2" borderId="18" xfId="0" applyNumberFormat="1" applyFont="1" applyFill="1" applyBorder="1" applyAlignment="1">
      <alignment horizontal="center" vertical="center" textRotation="90" wrapText="1"/>
    </xf>
    <xf numFmtId="3" fontId="3" fillId="0" borderId="23" xfId="0" applyNumberFormat="1" applyFont="1" applyFill="1" applyBorder="1" applyAlignment="1">
      <alignment horizontal="center" vertical="center" textRotation="90" wrapText="1"/>
    </xf>
    <xf numFmtId="3" fontId="3" fillId="0" borderId="58" xfId="0" applyNumberFormat="1" applyFont="1" applyFill="1" applyBorder="1" applyAlignment="1">
      <alignment horizontal="center" vertical="center" textRotation="90" wrapText="1"/>
    </xf>
    <xf numFmtId="3" fontId="3" fillId="0" borderId="38" xfId="0" applyNumberFormat="1" applyFont="1" applyFill="1" applyBorder="1" applyAlignment="1">
      <alignment horizontal="center" vertical="center" textRotation="90" wrapText="1"/>
    </xf>
    <xf numFmtId="3" fontId="5" fillId="0" borderId="42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3" fontId="5" fillId="0" borderId="44" xfId="0" applyNumberFormat="1" applyFont="1" applyBorder="1" applyAlignment="1">
      <alignment horizontal="center" vertical="center" wrapText="1"/>
    </xf>
    <xf numFmtId="3" fontId="5" fillId="2" borderId="13" xfId="0" applyNumberFormat="1" applyFont="1" applyFill="1" applyBorder="1" applyAlignment="1">
      <alignment horizontal="center" vertical="center" textRotation="90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1" fillId="2" borderId="42" xfId="0" applyNumberFormat="1" applyFont="1" applyFill="1" applyBorder="1" applyAlignment="1">
      <alignment horizontal="center" vertical="center" wrapText="1"/>
    </xf>
    <xf numFmtId="3" fontId="1" fillId="2" borderId="43" xfId="0" applyNumberFormat="1" applyFont="1" applyFill="1" applyBorder="1" applyAlignment="1">
      <alignment horizontal="center" vertical="center" wrapText="1"/>
    </xf>
    <xf numFmtId="3" fontId="1" fillId="2" borderId="44" xfId="0" applyNumberFormat="1" applyFont="1" applyFill="1" applyBorder="1" applyAlignment="1">
      <alignment horizontal="center" vertical="center" wrapText="1"/>
    </xf>
    <xf numFmtId="3" fontId="3" fillId="0" borderId="56" xfId="0" applyNumberFormat="1" applyFont="1" applyFill="1" applyBorder="1" applyAlignment="1">
      <alignment horizontal="center" vertical="center" textRotation="90" wrapText="1"/>
    </xf>
    <xf numFmtId="3" fontId="3" fillId="0" borderId="40" xfId="0" applyNumberFormat="1" applyFont="1" applyFill="1" applyBorder="1" applyAlignment="1">
      <alignment horizontal="center" vertical="center" textRotation="90" wrapText="1"/>
    </xf>
    <xf numFmtId="3" fontId="3" fillId="0" borderId="57" xfId="0" applyNumberFormat="1" applyFont="1" applyFill="1" applyBorder="1" applyAlignment="1">
      <alignment horizontal="center" vertical="center" textRotation="90" wrapText="1"/>
    </xf>
    <xf numFmtId="3" fontId="5" fillId="2" borderId="49" xfId="0" applyNumberFormat="1" applyFont="1" applyFill="1" applyBorder="1" applyAlignment="1">
      <alignment horizontal="center" vertical="center" textRotation="90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1" fillId="2" borderId="36" xfId="0" applyNumberFormat="1" applyFont="1" applyFill="1" applyBorder="1" applyAlignment="1">
      <alignment horizontal="center" vertical="center" wrapText="1"/>
    </xf>
    <xf numFmtId="3" fontId="1" fillId="2" borderId="28" xfId="0" applyNumberFormat="1" applyFont="1" applyFill="1" applyBorder="1" applyAlignment="1">
      <alignment horizontal="center" vertical="center" wrapText="1"/>
    </xf>
    <xf numFmtId="3" fontId="1" fillId="2" borderId="24" xfId="0" applyNumberFormat="1" applyFont="1" applyFill="1" applyBorder="1" applyAlignment="1">
      <alignment horizontal="center" vertical="center" wrapText="1"/>
    </xf>
    <xf numFmtId="3" fontId="2" fillId="0" borderId="56" xfId="0" applyNumberFormat="1" applyFont="1" applyFill="1" applyBorder="1" applyAlignment="1">
      <alignment horizontal="center" vertical="center" wrapText="1"/>
    </xf>
    <xf numFmtId="3" fontId="2" fillId="0" borderId="57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7" fillId="3" borderId="42" xfId="0" applyNumberFormat="1" applyFont="1" applyFill="1" applyBorder="1" applyAlignment="1">
      <alignment horizontal="center" vertical="center" wrapText="1"/>
    </xf>
    <xf numFmtId="3" fontId="7" fillId="3" borderId="43" xfId="0" applyNumberFormat="1" applyFont="1" applyFill="1" applyBorder="1" applyAlignment="1">
      <alignment horizontal="center" vertical="center" wrapText="1"/>
    </xf>
    <xf numFmtId="3" fontId="7" fillId="3" borderId="4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view="pageBreakPreview" zoomScaleSheetLayoutView="100" workbookViewId="0">
      <selection activeCell="P2" sqref="P2"/>
    </sheetView>
  </sheetViews>
  <sheetFormatPr defaultRowHeight="11.25" x14ac:dyDescent="0.25"/>
  <cols>
    <col min="1" max="1" width="2.7109375" style="4" customWidth="1"/>
    <col min="2" max="2" width="2.5703125" style="4" customWidth="1"/>
    <col min="3" max="3" width="7.5703125" style="4" customWidth="1"/>
    <col min="4" max="4" width="12.5703125" style="4" customWidth="1"/>
    <col min="5" max="5" width="6.28515625" style="4" customWidth="1"/>
    <col min="6" max="6" width="8.85546875" style="4" customWidth="1"/>
    <col min="7" max="7" width="9.5703125" style="4" customWidth="1"/>
    <col min="8" max="16" width="9.140625" style="4" customWidth="1"/>
    <col min="17" max="16384" width="9.140625" style="4"/>
  </cols>
  <sheetData>
    <row r="1" spans="2:20" s="1" customFormat="1" ht="15.75" x14ac:dyDescent="0.25">
      <c r="B1" s="28"/>
      <c r="C1" s="28"/>
      <c r="D1" s="3"/>
      <c r="E1" s="3"/>
      <c r="F1" s="3"/>
      <c r="G1" s="28"/>
      <c r="H1" s="28"/>
      <c r="L1" s="28"/>
      <c r="N1" s="99"/>
      <c r="O1" s="99"/>
      <c r="P1" s="166" t="s">
        <v>93</v>
      </c>
    </row>
    <row r="2" spans="2:20" s="1" customFormat="1" ht="15.75" x14ac:dyDescent="0.25">
      <c r="B2" s="28"/>
      <c r="C2" s="28"/>
      <c r="D2" s="3"/>
      <c r="E2" s="3"/>
      <c r="F2" s="3"/>
      <c r="G2" s="28"/>
      <c r="H2" s="28"/>
      <c r="L2" s="28"/>
      <c r="M2" s="32"/>
      <c r="N2" s="32"/>
      <c r="O2" s="33"/>
      <c r="P2" s="167" t="s">
        <v>94</v>
      </c>
    </row>
    <row r="3" spans="2:20" s="1" customFormat="1" ht="15.75" x14ac:dyDescent="0.25">
      <c r="B3" s="28"/>
      <c r="C3" s="28"/>
      <c r="D3" s="3"/>
      <c r="E3" s="3"/>
      <c r="F3" s="3"/>
      <c r="G3" s="28"/>
      <c r="H3" s="28"/>
      <c r="L3" s="28"/>
      <c r="M3" s="32"/>
      <c r="N3" s="32"/>
      <c r="O3" s="33"/>
      <c r="P3" s="167" t="s">
        <v>72</v>
      </c>
    </row>
    <row r="4" spans="2:20" x14ac:dyDescent="0.25"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20" ht="23.25" customHeight="1" x14ac:dyDescent="0.25">
      <c r="B5" s="198" t="s">
        <v>78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</row>
    <row r="6" spans="2:20" s="1" customFormat="1" ht="30" customHeight="1" x14ac:dyDescent="0.25">
      <c r="B6" s="177" t="s">
        <v>79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</row>
    <row r="7" spans="2:20" ht="29.25" customHeight="1" thickBot="1" x14ac:dyDescent="0.3">
      <c r="B7" s="178" t="s">
        <v>80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</row>
    <row r="8" spans="2:20" ht="26.25" customHeight="1" x14ac:dyDescent="0.25">
      <c r="B8" s="228" t="s">
        <v>0</v>
      </c>
      <c r="C8" s="229"/>
      <c r="D8" s="200" t="s">
        <v>68</v>
      </c>
      <c r="E8" s="205" t="s">
        <v>24</v>
      </c>
      <c r="F8" s="208" t="s">
        <v>10</v>
      </c>
      <c r="G8" s="211" t="s">
        <v>12</v>
      </c>
      <c r="H8" s="218" t="s">
        <v>1</v>
      </c>
      <c r="I8" s="200"/>
      <c r="J8" s="219"/>
      <c r="K8" s="218" t="s">
        <v>1</v>
      </c>
      <c r="L8" s="200"/>
      <c r="M8" s="219"/>
      <c r="N8" s="220" t="s">
        <v>1</v>
      </c>
      <c r="O8" s="221"/>
      <c r="P8" s="222"/>
    </row>
    <row r="9" spans="2:20" ht="35.25" customHeight="1" x14ac:dyDescent="0.25">
      <c r="B9" s="230"/>
      <c r="C9" s="231"/>
      <c r="D9" s="201"/>
      <c r="E9" s="206"/>
      <c r="F9" s="209"/>
      <c r="G9" s="212"/>
      <c r="H9" s="223" t="s">
        <v>92</v>
      </c>
      <c r="I9" s="201"/>
      <c r="J9" s="224"/>
      <c r="K9" s="223" t="s">
        <v>2</v>
      </c>
      <c r="L9" s="201"/>
      <c r="M9" s="224"/>
      <c r="N9" s="225" t="s">
        <v>3</v>
      </c>
      <c r="O9" s="226"/>
      <c r="P9" s="227"/>
    </row>
    <row r="10" spans="2:20" ht="34.5" thickBot="1" x14ac:dyDescent="0.3">
      <c r="B10" s="232"/>
      <c r="C10" s="233"/>
      <c r="D10" s="202"/>
      <c r="E10" s="207"/>
      <c r="F10" s="210"/>
      <c r="G10" s="213"/>
      <c r="H10" s="23" t="s">
        <v>4</v>
      </c>
      <c r="I10" s="25" t="s">
        <v>5</v>
      </c>
      <c r="J10" s="24" t="s">
        <v>6</v>
      </c>
      <c r="K10" s="23" t="s">
        <v>4</v>
      </c>
      <c r="L10" s="25" t="s">
        <v>5</v>
      </c>
      <c r="M10" s="24" t="s">
        <v>6</v>
      </c>
      <c r="N10" s="23" t="s">
        <v>4</v>
      </c>
      <c r="O10" s="25" t="s">
        <v>5</v>
      </c>
      <c r="P10" s="24" t="s">
        <v>6</v>
      </c>
    </row>
    <row r="11" spans="2:20" ht="12.75" thickBot="1" x14ac:dyDescent="0.3">
      <c r="B11" s="59"/>
      <c r="C11" s="60"/>
      <c r="D11" s="60"/>
      <c r="E11" s="61"/>
      <c r="F11" s="61"/>
      <c r="G11" s="61"/>
      <c r="H11" s="62"/>
      <c r="I11" s="63"/>
      <c r="J11" s="62"/>
      <c r="K11" s="62"/>
      <c r="L11" s="63"/>
      <c r="M11" s="62"/>
      <c r="N11" s="62"/>
      <c r="O11" s="63"/>
      <c r="P11" s="46"/>
    </row>
    <row r="12" spans="2:20" s="48" customFormat="1" ht="18.75" customHeight="1" thickBot="1" x14ac:dyDescent="0.3">
      <c r="B12" s="174" t="s">
        <v>18</v>
      </c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6"/>
      <c r="Q12" s="47"/>
      <c r="R12" s="47"/>
      <c r="S12" s="47"/>
      <c r="T12" s="47"/>
    </row>
    <row r="13" spans="2:20" s="1" customFormat="1" ht="16.5" customHeight="1" thickBot="1" x14ac:dyDescent="0.3">
      <c r="B13" s="182" t="s">
        <v>66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4"/>
      <c r="Q13" s="49"/>
      <c r="R13" s="49"/>
      <c r="S13" s="49"/>
      <c r="T13" s="38"/>
    </row>
    <row r="14" spans="2:20" s="40" customFormat="1" ht="15.75" customHeight="1" thickBot="1" x14ac:dyDescent="0.3">
      <c r="B14" s="194" t="s">
        <v>73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6"/>
      <c r="Q14" s="39"/>
      <c r="R14" s="39"/>
      <c r="S14" s="39"/>
      <c r="T14" s="39"/>
    </row>
    <row r="15" spans="2:20" ht="12" customHeight="1" x14ac:dyDescent="0.25">
      <c r="B15" s="179" t="s">
        <v>13</v>
      </c>
      <c r="C15" s="57" t="s">
        <v>52</v>
      </c>
      <c r="D15" s="215" t="s">
        <v>74</v>
      </c>
      <c r="E15" s="42">
        <v>100</v>
      </c>
      <c r="F15" s="42" t="s">
        <v>17</v>
      </c>
      <c r="G15" s="43" t="s">
        <v>17</v>
      </c>
      <c r="H15" s="41">
        <v>270</v>
      </c>
      <c r="I15" s="170">
        <v>270</v>
      </c>
      <c r="J15" s="51"/>
      <c r="K15" s="41">
        <v>270</v>
      </c>
      <c r="L15" s="170">
        <v>270</v>
      </c>
      <c r="M15" s="51"/>
      <c r="N15" s="41">
        <v>270</v>
      </c>
      <c r="O15" s="170">
        <v>270</v>
      </c>
      <c r="P15" s="53"/>
      <c r="Q15" s="37"/>
      <c r="R15" s="37"/>
      <c r="S15" s="37"/>
      <c r="T15" s="37"/>
    </row>
    <row r="16" spans="2:20" ht="12" customHeight="1" x14ac:dyDescent="0.25">
      <c r="B16" s="180"/>
      <c r="C16" s="54" t="s">
        <v>49</v>
      </c>
      <c r="D16" s="216"/>
      <c r="E16" s="5">
        <v>150</v>
      </c>
      <c r="F16" s="5" t="s">
        <v>17</v>
      </c>
      <c r="G16" s="22" t="s">
        <v>17</v>
      </c>
      <c r="H16" s="21">
        <v>270</v>
      </c>
      <c r="I16" s="168">
        <v>270</v>
      </c>
      <c r="J16" s="26"/>
      <c r="K16" s="21">
        <v>270</v>
      </c>
      <c r="L16" s="168">
        <v>270</v>
      </c>
      <c r="M16" s="26"/>
      <c r="N16" s="21">
        <v>270</v>
      </c>
      <c r="O16" s="168">
        <v>270</v>
      </c>
      <c r="P16" s="22"/>
    </row>
    <row r="17" spans="2:17" ht="12" customHeight="1" x14ac:dyDescent="0.25">
      <c r="B17" s="180"/>
      <c r="C17" s="54" t="s">
        <v>47</v>
      </c>
      <c r="D17" s="216"/>
      <c r="E17" s="5">
        <v>200</v>
      </c>
      <c r="F17" s="5" t="s">
        <v>17</v>
      </c>
      <c r="G17" s="22" t="s">
        <v>17</v>
      </c>
      <c r="H17" s="21">
        <v>270</v>
      </c>
      <c r="I17" s="168">
        <v>270</v>
      </c>
      <c r="J17" s="26"/>
      <c r="K17" s="21">
        <v>270</v>
      </c>
      <c r="L17" s="168">
        <v>270</v>
      </c>
      <c r="M17" s="26"/>
      <c r="N17" s="21">
        <v>270</v>
      </c>
      <c r="O17" s="168">
        <v>270</v>
      </c>
      <c r="P17" s="22"/>
    </row>
    <row r="18" spans="2:17" ht="12" customHeight="1" thickBot="1" x14ac:dyDescent="0.3">
      <c r="B18" s="181"/>
      <c r="C18" s="58" t="s">
        <v>50</v>
      </c>
      <c r="D18" s="217"/>
      <c r="E18" s="44">
        <v>250</v>
      </c>
      <c r="F18" s="44" t="s">
        <v>17</v>
      </c>
      <c r="G18" s="24" t="s">
        <v>17</v>
      </c>
      <c r="H18" s="23">
        <v>270</v>
      </c>
      <c r="I18" s="56">
        <v>270</v>
      </c>
      <c r="J18" s="24"/>
      <c r="K18" s="23">
        <v>270</v>
      </c>
      <c r="L18" s="56">
        <v>270</v>
      </c>
      <c r="M18" s="45"/>
      <c r="N18" s="23">
        <v>270</v>
      </c>
      <c r="O18" s="56">
        <v>270</v>
      </c>
      <c r="P18" s="24"/>
    </row>
    <row r="19" spans="2:17" s="35" customFormat="1" ht="3" customHeight="1" thickBot="1" x14ac:dyDescent="0.3">
      <c r="B19" s="37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37"/>
    </row>
    <row r="20" spans="2:17" ht="12" customHeight="1" x14ac:dyDescent="0.25">
      <c r="B20" s="185" t="s">
        <v>19</v>
      </c>
      <c r="C20" s="171" t="s">
        <v>5</v>
      </c>
      <c r="D20" s="199" t="s">
        <v>20</v>
      </c>
      <c r="E20" s="50">
        <v>100</v>
      </c>
      <c r="F20" s="50" t="s">
        <v>17</v>
      </c>
      <c r="G20" s="53" t="s">
        <v>17</v>
      </c>
      <c r="H20" s="41">
        <v>270</v>
      </c>
      <c r="I20" s="170">
        <v>270</v>
      </c>
      <c r="J20" s="53"/>
      <c r="K20" s="41">
        <v>270</v>
      </c>
      <c r="L20" s="170">
        <v>270</v>
      </c>
      <c r="M20" s="53"/>
      <c r="N20" s="41">
        <v>270</v>
      </c>
      <c r="O20" s="170">
        <v>270</v>
      </c>
      <c r="P20" s="43"/>
      <c r="Q20" s="36"/>
    </row>
    <row r="21" spans="2:17" ht="12" customHeight="1" x14ac:dyDescent="0.25">
      <c r="B21" s="186"/>
      <c r="C21" s="172"/>
      <c r="D21" s="190"/>
      <c r="E21" s="5">
        <v>150</v>
      </c>
      <c r="F21" s="5" t="s">
        <v>17</v>
      </c>
      <c r="G21" s="22" t="s">
        <v>17</v>
      </c>
      <c r="H21" s="21">
        <v>270</v>
      </c>
      <c r="I21" s="168">
        <v>270</v>
      </c>
      <c r="J21" s="22"/>
      <c r="K21" s="21">
        <v>270</v>
      </c>
      <c r="L21" s="168">
        <v>270</v>
      </c>
      <c r="M21" s="22"/>
      <c r="N21" s="21">
        <v>270</v>
      </c>
      <c r="O21" s="168">
        <v>270</v>
      </c>
      <c r="P21" s="22"/>
      <c r="Q21" s="36"/>
    </row>
    <row r="22" spans="2:17" ht="12" customHeight="1" x14ac:dyDescent="0.25">
      <c r="B22" s="186"/>
      <c r="C22" s="172"/>
      <c r="D22" s="190"/>
      <c r="E22" s="5">
        <v>200</v>
      </c>
      <c r="F22" s="5" t="s">
        <v>17</v>
      </c>
      <c r="G22" s="22" t="s">
        <v>17</v>
      </c>
      <c r="H22" s="21">
        <v>270</v>
      </c>
      <c r="I22" s="168">
        <v>270</v>
      </c>
      <c r="J22" s="22"/>
      <c r="K22" s="21">
        <v>270</v>
      </c>
      <c r="L22" s="168">
        <v>270</v>
      </c>
      <c r="M22" s="22"/>
      <c r="N22" s="21">
        <v>270</v>
      </c>
      <c r="O22" s="168">
        <v>270</v>
      </c>
      <c r="P22" s="22"/>
      <c r="Q22" s="36"/>
    </row>
    <row r="23" spans="2:17" ht="12" customHeight="1" thickBot="1" x14ac:dyDescent="0.3">
      <c r="B23" s="187"/>
      <c r="C23" s="173"/>
      <c r="D23" s="191"/>
      <c r="E23" s="44">
        <v>250</v>
      </c>
      <c r="F23" s="44" t="s">
        <v>17</v>
      </c>
      <c r="G23" s="24" t="s">
        <v>17</v>
      </c>
      <c r="H23" s="23">
        <v>270</v>
      </c>
      <c r="I23" s="56">
        <v>270</v>
      </c>
      <c r="J23" s="24"/>
      <c r="K23" s="23">
        <v>270</v>
      </c>
      <c r="L23" s="56">
        <v>270</v>
      </c>
      <c r="M23" s="24"/>
      <c r="N23" s="23">
        <v>270</v>
      </c>
      <c r="O23" s="56">
        <v>270</v>
      </c>
      <c r="P23" s="24"/>
      <c r="Q23" s="36"/>
    </row>
    <row r="24" spans="2:17" s="35" customFormat="1" ht="3" customHeight="1" thickBot="1" x14ac:dyDescent="0.3">
      <c r="B24" s="37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169"/>
    </row>
    <row r="25" spans="2:17" ht="12" customHeight="1" x14ac:dyDescent="0.25">
      <c r="B25" s="185" t="s">
        <v>21</v>
      </c>
      <c r="C25" s="171" t="s">
        <v>14</v>
      </c>
      <c r="D25" s="199" t="s">
        <v>9</v>
      </c>
      <c r="E25" s="50">
        <v>100</v>
      </c>
      <c r="F25" s="50" t="s">
        <v>17</v>
      </c>
      <c r="G25" s="53" t="s">
        <v>17</v>
      </c>
      <c r="H25" s="41">
        <v>270</v>
      </c>
      <c r="I25" s="170">
        <v>270</v>
      </c>
      <c r="J25" s="53"/>
      <c r="K25" s="41">
        <v>270</v>
      </c>
      <c r="L25" s="170">
        <v>270</v>
      </c>
      <c r="M25" s="53"/>
      <c r="N25" s="41">
        <v>270</v>
      </c>
      <c r="O25" s="170">
        <v>270</v>
      </c>
      <c r="P25" s="53"/>
      <c r="Q25" s="36"/>
    </row>
    <row r="26" spans="2:17" ht="12" customHeight="1" x14ac:dyDescent="0.25">
      <c r="B26" s="186"/>
      <c r="C26" s="172"/>
      <c r="D26" s="190"/>
      <c r="E26" s="5">
        <v>150</v>
      </c>
      <c r="F26" s="5" t="s">
        <v>17</v>
      </c>
      <c r="G26" s="22" t="s">
        <v>17</v>
      </c>
      <c r="H26" s="21">
        <v>270</v>
      </c>
      <c r="I26" s="168">
        <v>270</v>
      </c>
      <c r="J26" s="22"/>
      <c r="K26" s="21">
        <v>270</v>
      </c>
      <c r="L26" s="168">
        <v>270</v>
      </c>
      <c r="M26" s="22"/>
      <c r="N26" s="21">
        <v>270</v>
      </c>
      <c r="O26" s="168">
        <v>270</v>
      </c>
      <c r="P26" s="22"/>
      <c r="Q26" s="36"/>
    </row>
    <row r="27" spans="2:17" ht="12" customHeight="1" x14ac:dyDescent="0.25">
      <c r="B27" s="186"/>
      <c r="C27" s="172"/>
      <c r="D27" s="190"/>
      <c r="E27" s="5">
        <v>200</v>
      </c>
      <c r="F27" s="5" t="s">
        <v>17</v>
      </c>
      <c r="G27" s="22" t="s">
        <v>17</v>
      </c>
      <c r="H27" s="21">
        <v>270</v>
      </c>
      <c r="I27" s="168">
        <v>270</v>
      </c>
      <c r="J27" s="22"/>
      <c r="K27" s="21">
        <v>270</v>
      </c>
      <c r="L27" s="168">
        <v>270</v>
      </c>
      <c r="M27" s="22"/>
      <c r="N27" s="21">
        <v>270</v>
      </c>
      <c r="O27" s="168">
        <v>270</v>
      </c>
      <c r="P27" s="22"/>
      <c r="Q27" s="36"/>
    </row>
    <row r="28" spans="2:17" ht="12" customHeight="1" thickBot="1" x14ac:dyDescent="0.3">
      <c r="B28" s="187"/>
      <c r="C28" s="173"/>
      <c r="D28" s="191"/>
      <c r="E28" s="44">
        <v>250</v>
      </c>
      <c r="F28" s="44" t="s">
        <v>17</v>
      </c>
      <c r="G28" s="24" t="s">
        <v>17</v>
      </c>
      <c r="H28" s="23">
        <v>270</v>
      </c>
      <c r="I28" s="56">
        <v>270</v>
      </c>
      <c r="J28" s="24"/>
      <c r="K28" s="23">
        <v>270</v>
      </c>
      <c r="L28" s="56">
        <v>270</v>
      </c>
      <c r="M28" s="24"/>
      <c r="N28" s="23">
        <v>270</v>
      </c>
      <c r="O28" s="56">
        <v>270</v>
      </c>
      <c r="P28" s="24"/>
      <c r="Q28" s="36"/>
    </row>
    <row r="29" spans="2:17" s="35" customFormat="1" ht="3" customHeight="1" thickBot="1" x14ac:dyDescent="0.3">
      <c r="B29" s="37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169"/>
    </row>
    <row r="30" spans="2:17" ht="12" customHeight="1" x14ac:dyDescent="0.25">
      <c r="B30" s="179" t="s">
        <v>22</v>
      </c>
      <c r="C30" s="171" t="s">
        <v>14</v>
      </c>
      <c r="D30" s="199" t="s">
        <v>9</v>
      </c>
      <c r="E30" s="50">
        <v>100</v>
      </c>
      <c r="F30" s="50" t="s">
        <v>17</v>
      </c>
      <c r="G30" s="53" t="s">
        <v>17</v>
      </c>
      <c r="H30" s="41">
        <v>270</v>
      </c>
      <c r="I30" s="170">
        <v>270</v>
      </c>
      <c r="J30" s="53"/>
      <c r="K30" s="41">
        <v>270</v>
      </c>
      <c r="L30" s="170">
        <v>270</v>
      </c>
      <c r="M30" s="53"/>
      <c r="N30" s="41">
        <v>270</v>
      </c>
      <c r="O30" s="170">
        <v>270</v>
      </c>
      <c r="P30" s="53"/>
      <c r="Q30" s="36"/>
    </row>
    <row r="31" spans="2:17" ht="12" customHeight="1" x14ac:dyDescent="0.25">
      <c r="B31" s="180"/>
      <c r="C31" s="172"/>
      <c r="D31" s="190"/>
      <c r="E31" s="5">
        <v>150</v>
      </c>
      <c r="F31" s="5" t="s">
        <v>17</v>
      </c>
      <c r="G31" s="22" t="s">
        <v>17</v>
      </c>
      <c r="H31" s="21">
        <v>270</v>
      </c>
      <c r="I31" s="168">
        <v>270</v>
      </c>
      <c r="J31" s="22"/>
      <c r="K31" s="21">
        <v>270</v>
      </c>
      <c r="L31" s="168">
        <v>270</v>
      </c>
      <c r="M31" s="22"/>
      <c r="N31" s="21">
        <v>270</v>
      </c>
      <c r="O31" s="168">
        <v>270</v>
      </c>
      <c r="P31" s="22"/>
      <c r="Q31" s="36"/>
    </row>
    <row r="32" spans="2:17" ht="12" customHeight="1" x14ac:dyDescent="0.25">
      <c r="B32" s="180"/>
      <c r="C32" s="172"/>
      <c r="D32" s="190"/>
      <c r="E32" s="5">
        <v>200</v>
      </c>
      <c r="F32" s="5" t="s">
        <v>17</v>
      </c>
      <c r="G32" s="22" t="s">
        <v>17</v>
      </c>
      <c r="H32" s="21">
        <v>270</v>
      </c>
      <c r="I32" s="168">
        <v>270</v>
      </c>
      <c r="J32" s="22"/>
      <c r="K32" s="21">
        <v>270</v>
      </c>
      <c r="L32" s="168">
        <v>270</v>
      </c>
      <c r="M32" s="22"/>
      <c r="N32" s="21">
        <v>270</v>
      </c>
      <c r="O32" s="168">
        <v>270</v>
      </c>
      <c r="P32" s="22"/>
      <c r="Q32" s="36"/>
    </row>
    <row r="33" spans="2:17" ht="12" customHeight="1" thickBot="1" x14ac:dyDescent="0.3">
      <c r="B33" s="181"/>
      <c r="C33" s="173"/>
      <c r="D33" s="191"/>
      <c r="E33" s="44">
        <v>250</v>
      </c>
      <c r="F33" s="44" t="s">
        <v>17</v>
      </c>
      <c r="G33" s="24" t="s">
        <v>17</v>
      </c>
      <c r="H33" s="21">
        <v>270</v>
      </c>
      <c r="I33" s="168">
        <v>270</v>
      </c>
      <c r="J33" s="24"/>
      <c r="K33" s="21">
        <v>270</v>
      </c>
      <c r="L33" s="168">
        <v>270</v>
      </c>
      <c r="M33" s="24"/>
      <c r="N33" s="21">
        <v>270</v>
      </c>
      <c r="O33" s="168">
        <v>270</v>
      </c>
      <c r="P33" s="24"/>
      <c r="Q33" s="36"/>
    </row>
    <row r="34" spans="2:17" s="35" customFormat="1" ht="3" customHeight="1" thickBot="1" x14ac:dyDescent="0.3">
      <c r="B34" s="37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61"/>
    </row>
    <row r="35" spans="2:17" ht="12" customHeight="1" x14ac:dyDescent="0.25">
      <c r="B35" s="185" t="s">
        <v>23</v>
      </c>
      <c r="C35" s="171" t="s">
        <v>14</v>
      </c>
      <c r="D35" s="199" t="s">
        <v>9</v>
      </c>
      <c r="E35" s="50">
        <v>100</v>
      </c>
      <c r="F35" s="50" t="s">
        <v>17</v>
      </c>
      <c r="G35" s="53" t="s">
        <v>17</v>
      </c>
      <c r="H35" s="41">
        <v>270</v>
      </c>
      <c r="I35" s="170">
        <v>270</v>
      </c>
      <c r="J35" s="53"/>
      <c r="K35" s="41">
        <v>270</v>
      </c>
      <c r="L35" s="170">
        <v>270</v>
      </c>
      <c r="M35" s="53"/>
      <c r="N35" s="41">
        <v>270</v>
      </c>
      <c r="O35" s="170">
        <v>270</v>
      </c>
      <c r="P35" s="53"/>
      <c r="Q35" s="36"/>
    </row>
    <row r="36" spans="2:17" ht="12" customHeight="1" x14ac:dyDescent="0.25">
      <c r="B36" s="186"/>
      <c r="C36" s="172"/>
      <c r="D36" s="190"/>
      <c r="E36" s="5">
        <v>150</v>
      </c>
      <c r="F36" s="5" t="s">
        <v>17</v>
      </c>
      <c r="G36" s="22" t="s">
        <v>17</v>
      </c>
      <c r="H36" s="21">
        <v>270</v>
      </c>
      <c r="I36" s="168">
        <v>270</v>
      </c>
      <c r="J36" s="22"/>
      <c r="K36" s="21">
        <v>270</v>
      </c>
      <c r="L36" s="168">
        <v>270</v>
      </c>
      <c r="M36" s="22"/>
      <c r="N36" s="21">
        <v>270</v>
      </c>
      <c r="O36" s="168">
        <v>270</v>
      </c>
      <c r="P36" s="22"/>
      <c r="Q36" s="36"/>
    </row>
    <row r="37" spans="2:17" ht="12" customHeight="1" x14ac:dyDescent="0.25">
      <c r="B37" s="186"/>
      <c r="C37" s="172"/>
      <c r="D37" s="190"/>
      <c r="E37" s="5">
        <v>200</v>
      </c>
      <c r="F37" s="5" t="s">
        <v>17</v>
      </c>
      <c r="G37" s="22" t="s">
        <v>17</v>
      </c>
      <c r="H37" s="21">
        <v>270</v>
      </c>
      <c r="I37" s="168">
        <v>270</v>
      </c>
      <c r="J37" s="22"/>
      <c r="K37" s="21">
        <v>270</v>
      </c>
      <c r="L37" s="168">
        <v>270</v>
      </c>
      <c r="M37" s="22"/>
      <c r="N37" s="21">
        <v>270</v>
      </c>
      <c r="O37" s="168">
        <v>270</v>
      </c>
      <c r="P37" s="22"/>
      <c r="Q37" s="36"/>
    </row>
    <row r="38" spans="2:17" ht="12" customHeight="1" thickBot="1" x14ac:dyDescent="0.3">
      <c r="B38" s="187"/>
      <c r="C38" s="173"/>
      <c r="D38" s="191"/>
      <c r="E38" s="44">
        <v>250</v>
      </c>
      <c r="F38" s="44" t="s">
        <v>17</v>
      </c>
      <c r="G38" s="24" t="s">
        <v>17</v>
      </c>
      <c r="H38" s="23">
        <v>270</v>
      </c>
      <c r="I38" s="56">
        <v>270</v>
      </c>
      <c r="J38" s="24"/>
      <c r="K38" s="23">
        <v>270</v>
      </c>
      <c r="L38" s="56">
        <v>270</v>
      </c>
      <c r="M38" s="24"/>
      <c r="N38" s="23">
        <v>270</v>
      </c>
      <c r="O38" s="56">
        <v>270</v>
      </c>
      <c r="P38" s="24"/>
      <c r="Q38" s="36"/>
    </row>
    <row r="39" spans="2:17" s="35" customFormat="1" ht="3" customHeight="1" thickBot="1" x14ac:dyDescent="0.3">
      <c r="B39" s="37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37"/>
    </row>
    <row r="40" spans="2:17" s="48" customFormat="1" ht="18.75" customHeight="1" thickBot="1" x14ac:dyDescent="0.3">
      <c r="B40" s="194" t="s">
        <v>75</v>
      </c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6"/>
    </row>
    <row r="41" spans="2:17" ht="12" customHeight="1" x14ac:dyDescent="0.25">
      <c r="B41" s="185" t="s">
        <v>13</v>
      </c>
      <c r="C41" s="42" t="s">
        <v>5</v>
      </c>
      <c r="D41" s="189" t="s">
        <v>9</v>
      </c>
      <c r="E41" s="42">
        <v>100</v>
      </c>
      <c r="F41" s="42" t="s">
        <v>17</v>
      </c>
      <c r="G41" s="43" t="s">
        <v>17</v>
      </c>
      <c r="H41" s="41">
        <v>135</v>
      </c>
      <c r="I41" s="50">
        <v>95</v>
      </c>
      <c r="J41" s="53"/>
      <c r="K41" s="52">
        <v>160</v>
      </c>
      <c r="L41" s="50">
        <v>115</v>
      </c>
      <c r="M41" s="53"/>
      <c r="N41" s="52">
        <v>170</v>
      </c>
      <c r="O41" s="50">
        <v>120</v>
      </c>
      <c r="P41" s="53"/>
      <c r="Q41" s="36"/>
    </row>
    <row r="42" spans="2:17" ht="12" customHeight="1" x14ac:dyDescent="0.25">
      <c r="B42" s="186"/>
      <c r="C42" s="5" t="s">
        <v>14</v>
      </c>
      <c r="D42" s="190"/>
      <c r="E42" s="5">
        <v>150</v>
      </c>
      <c r="F42" s="5" t="s">
        <v>17</v>
      </c>
      <c r="G42" s="22" t="s">
        <v>17</v>
      </c>
      <c r="H42" s="21">
        <v>135</v>
      </c>
      <c r="I42" s="5">
        <v>120</v>
      </c>
      <c r="J42" s="22"/>
      <c r="K42" s="21">
        <v>340</v>
      </c>
      <c r="L42" s="5">
        <v>290</v>
      </c>
      <c r="M42" s="22"/>
      <c r="N42" s="21">
        <v>385</v>
      </c>
      <c r="O42" s="5">
        <v>300</v>
      </c>
      <c r="P42" s="22"/>
      <c r="Q42" s="36"/>
    </row>
    <row r="43" spans="2:17" ht="12" customHeight="1" x14ac:dyDescent="0.25">
      <c r="B43" s="186"/>
      <c r="C43" s="5"/>
      <c r="D43" s="190"/>
      <c r="E43" s="5">
        <v>200</v>
      </c>
      <c r="F43" s="5" t="s">
        <v>17</v>
      </c>
      <c r="G43" s="22" t="s">
        <v>17</v>
      </c>
      <c r="H43" s="21">
        <v>135</v>
      </c>
      <c r="I43" s="5">
        <v>120</v>
      </c>
      <c r="J43" s="22"/>
      <c r="K43" s="21">
        <v>340</v>
      </c>
      <c r="L43" s="5">
        <v>290</v>
      </c>
      <c r="M43" s="22"/>
      <c r="N43" s="21">
        <v>540</v>
      </c>
      <c r="O43" s="5">
        <v>450</v>
      </c>
      <c r="P43" s="22"/>
      <c r="Q43" s="36"/>
    </row>
    <row r="44" spans="2:17" ht="12" customHeight="1" thickBot="1" x14ac:dyDescent="0.3">
      <c r="B44" s="187"/>
      <c r="C44" s="44"/>
      <c r="D44" s="191"/>
      <c r="E44" s="44">
        <v>250</v>
      </c>
      <c r="F44" s="44" t="s">
        <v>17</v>
      </c>
      <c r="G44" s="24" t="s">
        <v>17</v>
      </c>
      <c r="H44" s="23">
        <v>135</v>
      </c>
      <c r="I44" s="44">
        <v>120</v>
      </c>
      <c r="J44" s="24"/>
      <c r="K44" s="23">
        <v>340</v>
      </c>
      <c r="L44" s="44">
        <v>290</v>
      </c>
      <c r="M44" s="24"/>
      <c r="N44" s="23">
        <v>540</v>
      </c>
      <c r="O44" s="44">
        <v>450</v>
      </c>
      <c r="P44" s="24"/>
      <c r="Q44" s="36"/>
    </row>
    <row r="45" spans="2:17" s="35" customFormat="1" ht="3" customHeight="1" thickBot="1" x14ac:dyDescent="0.3">
      <c r="B45" s="37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37"/>
    </row>
    <row r="46" spans="2:17" ht="19.5" customHeight="1" thickBot="1" x14ac:dyDescent="0.3">
      <c r="B46" s="194" t="s">
        <v>76</v>
      </c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6"/>
    </row>
    <row r="47" spans="2:17" ht="12" customHeight="1" x14ac:dyDescent="0.25">
      <c r="B47" s="185" t="s">
        <v>13</v>
      </c>
      <c r="C47" s="42" t="s">
        <v>5</v>
      </c>
      <c r="D47" s="189" t="s">
        <v>9</v>
      </c>
      <c r="E47" s="42">
        <v>100</v>
      </c>
      <c r="F47" s="42" t="s">
        <v>17</v>
      </c>
      <c r="G47" s="43" t="s">
        <v>17</v>
      </c>
      <c r="H47" s="52">
        <v>135</v>
      </c>
      <c r="I47" s="50">
        <v>95</v>
      </c>
      <c r="J47" s="53"/>
      <c r="K47" s="52">
        <v>150</v>
      </c>
      <c r="L47" s="50">
        <v>115</v>
      </c>
      <c r="M47" s="53"/>
      <c r="N47" s="52">
        <v>170</v>
      </c>
      <c r="O47" s="50">
        <v>120</v>
      </c>
      <c r="P47" s="53"/>
      <c r="Q47" s="36"/>
    </row>
    <row r="48" spans="2:17" ht="12" customHeight="1" x14ac:dyDescent="0.25">
      <c r="B48" s="186"/>
      <c r="C48" s="5" t="s">
        <v>14</v>
      </c>
      <c r="D48" s="190"/>
      <c r="E48" s="5">
        <v>150</v>
      </c>
      <c r="F48" s="5" t="s">
        <v>17</v>
      </c>
      <c r="G48" s="22" t="s">
        <v>17</v>
      </c>
      <c r="H48" s="21">
        <v>135</v>
      </c>
      <c r="I48" s="5">
        <v>120</v>
      </c>
      <c r="J48" s="22"/>
      <c r="K48" s="21">
        <v>260</v>
      </c>
      <c r="L48" s="5">
        <v>225</v>
      </c>
      <c r="M48" s="22"/>
      <c r="N48" s="21">
        <v>335</v>
      </c>
      <c r="O48" s="5">
        <v>275</v>
      </c>
      <c r="P48" s="22"/>
      <c r="Q48" s="36"/>
    </row>
    <row r="49" spans="2:20" ht="12" customHeight="1" x14ac:dyDescent="0.25">
      <c r="B49" s="186"/>
      <c r="C49" s="5"/>
      <c r="D49" s="190"/>
      <c r="E49" s="5">
        <v>200</v>
      </c>
      <c r="F49" s="5" t="s">
        <v>17</v>
      </c>
      <c r="G49" s="22" t="s">
        <v>17</v>
      </c>
      <c r="H49" s="21">
        <v>135</v>
      </c>
      <c r="I49" s="5">
        <v>120</v>
      </c>
      <c r="J49" s="22"/>
      <c r="K49" s="21">
        <v>340</v>
      </c>
      <c r="L49" s="5">
        <v>290</v>
      </c>
      <c r="M49" s="22"/>
      <c r="N49" s="21">
        <v>455</v>
      </c>
      <c r="O49" s="5">
        <v>450</v>
      </c>
      <c r="P49" s="22"/>
      <c r="Q49" s="36"/>
    </row>
    <row r="50" spans="2:20" ht="12" customHeight="1" thickBot="1" x14ac:dyDescent="0.3">
      <c r="B50" s="187"/>
      <c r="C50" s="44"/>
      <c r="D50" s="191"/>
      <c r="E50" s="44">
        <v>250</v>
      </c>
      <c r="F50" s="44" t="s">
        <v>17</v>
      </c>
      <c r="G50" s="24" t="s">
        <v>17</v>
      </c>
      <c r="H50" s="23">
        <v>135</v>
      </c>
      <c r="I50" s="44">
        <v>120</v>
      </c>
      <c r="J50" s="24"/>
      <c r="K50" s="23">
        <v>340</v>
      </c>
      <c r="L50" s="44">
        <v>290</v>
      </c>
      <c r="M50" s="24"/>
      <c r="N50" s="23">
        <v>530</v>
      </c>
      <c r="O50" s="44">
        <v>450</v>
      </c>
      <c r="P50" s="24"/>
      <c r="Q50" s="36"/>
    </row>
    <row r="51" spans="2:20" s="35" customFormat="1" ht="3" customHeight="1" thickBot="1" x14ac:dyDescent="0.3">
      <c r="B51" s="37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37"/>
    </row>
    <row r="52" spans="2:20" ht="12" customHeight="1" x14ac:dyDescent="0.25">
      <c r="B52" s="185" t="s">
        <v>19</v>
      </c>
      <c r="C52" s="42" t="s">
        <v>5</v>
      </c>
      <c r="D52" s="189" t="s">
        <v>54</v>
      </c>
      <c r="E52" s="42">
        <v>100</v>
      </c>
      <c r="F52" s="42" t="s">
        <v>17</v>
      </c>
      <c r="G52" s="43" t="s">
        <v>17</v>
      </c>
      <c r="H52" s="41">
        <v>80</v>
      </c>
      <c r="I52" s="42">
        <v>80</v>
      </c>
      <c r="J52" s="43"/>
      <c r="K52" s="41">
        <v>95</v>
      </c>
      <c r="L52" s="42">
        <v>95</v>
      </c>
      <c r="M52" s="43"/>
      <c r="N52" s="55">
        <v>130</v>
      </c>
      <c r="O52" s="42">
        <v>120</v>
      </c>
      <c r="P52" s="43"/>
      <c r="Q52" s="36"/>
    </row>
    <row r="53" spans="2:20" ht="12" customHeight="1" x14ac:dyDescent="0.25">
      <c r="B53" s="186"/>
      <c r="C53" s="5" t="s">
        <v>14</v>
      </c>
      <c r="D53" s="190"/>
      <c r="E53" s="5">
        <v>150</v>
      </c>
      <c r="F53" s="5" t="s">
        <v>17</v>
      </c>
      <c r="G53" s="22" t="s">
        <v>17</v>
      </c>
      <c r="H53" s="21">
        <v>135</v>
      </c>
      <c r="I53" s="5">
        <v>120</v>
      </c>
      <c r="J53" s="22"/>
      <c r="K53" s="21">
        <v>190</v>
      </c>
      <c r="L53" s="5">
        <v>190</v>
      </c>
      <c r="M53" s="22"/>
      <c r="N53" s="27">
        <v>220</v>
      </c>
      <c r="O53" s="5">
        <v>220</v>
      </c>
      <c r="P53" s="22"/>
      <c r="Q53" s="36"/>
    </row>
    <row r="54" spans="2:20" ht="12" customHeight="1" x14ac:dyDescent="0.25">
      <c r="B54" s="186"/>
      <c r="C54" s="5"/>
      <c r="D54" s="190"/>
      <c r="E54" s="5">
        <v>200</v>
      </c>
      <c r="F54" s="5" t="s">
        <v>17</v>
      </c>
      <c r="G54" s="22" t="s">
        <v>17</v>
      </c>
      <c r="H54" s="21">
        <v>135</v>
      </c>
      <c r="I54" s="5">
        <v>120</v>
      </c>
      <c r="J54" s="22"/>
      <c r="K54" s="21">
        <v>270</v>
      </c>
      <c r="L54" s="5">
        <v>270</v>
      </c>
      <c r="M54" s="22"/>
      <c r="N54" s="27">
        <v>290</v>
      </c>
      <c r="O54" s="5">
        <v>290</v>
      </c>
      <c r="P54" s="22"/>
      <c r="Q54" s="36"/>
    </row>
    <row r="55" spans="2:20" ht="12" customHeight="1" thickBot="1" x14ac:dyDescent="0.3">
      <c r="B55" s="187"/>
      <c r="C55" s="44"/>
      <c r="D55" s="191"/>
      <c r="E55" s="44">
        <v>250</v>
      </c>
      <c r="F55" s="44" t="s">
        <v>17</v>
      </c>
      <c r="G55" s="24" t="s">
        <v>17</v>
      </c>
      <c r="H55" s="23">
        <v>135</v>
      </c>
      <c r="I55" s="44">
        <v>120</v>
      </c>
      <c r="J55" s="24"/>
      <c r="K55" s="23">
        <v>340</v>
      </c>
      <c r="L55" s="44">
        <v>290</v>
      </c>
      <c r="M55" s="24"/>
      <c r="N55" s="56">
        <v>380</v>
      </c>
      <c r="O55" s="44">
        <v>380</v>
      </c>
      <c r="P55" s="24"/>
      <c r="Q55" s="36"/>
    </row>
    <row r="56" spans="2:20" s="35" customFormat="1" ht="3" customHeight="1" x14ac:dyDescent="0.25">
      <c r="B56" s="37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37"/>
    </row>
    <row r="57" spans="2:20" ht="12" thickBot="1" x14ac:dyDescent="0.3"/>
    <row r="58" spans="2:20" s="48" customFormat="1" ht="18.75" customHeight="1" thickBot="1" x14ac:dyDescent="0.3">
      <c r="B58" s="174" t="s">
        <v>77</v>
      </c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6"/>
      <c r="Q58" s="47"/>
      <c r="R58" s="47"/>
      <c r="S58" s="47"/>
      <c r="T58" s="47"/>
    </row>
    <row r="59" spans="2:20" s="1" customFormat="1" ht="16.5" customHeight="1" thickBot="1" x14ac:dyDescent="0.3">
      <c r="B59" s="182" t="s">
        <v>67</v>
      </c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4"/>
      <c r="Q59" s="49"/>
      <c r="R59" s="49"/>
      <c r="S59" s="49"/>
      <c r="T59" s="38"/>
    </row>
    <row r="60" spans="2:20" s="40" customFormat="1" ht="15.75" customHeight="1" thickBot="1" x14ac:dyDescent="0.3">
      <c r="B60" s="194" t="s">
        <v>73</v>
      </c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6"/>
      <c r="Q60" s="39"/>
      <c r="R60" s="39"/>
      <c r="S60" s="39"/>
      <c r="T60" s="39"/>
    </row>
    <row r="61" spans="2:20" ht="12" customHeight="1" x14ac:dyDescent="0.25">
      <c r="B61" s="185" t="s">
        <v>19</v>
      </c>
      <c r="C61" s="42" t="s">
        <v>5</v>
      </c>
      <c r="D61" s="189" t="s">
        <v>20</v>
      </c>
      <c r="E61" s="42">
        <v>100</v>
      </c>
      <c r="F61" s="42" t="s">
        <v>17</v>
      </c>
      <c r="G61" s="43" t="s">
        <v>17</v>
      </c>
      <c r="H61" s="41">
        <v>45</v>
      </c>
      <c r="I61" s="42">
        <v>45</v>
      </c>
      <c r="J61" s="43">
        <v>35</v>
      </c>
      <c r="K61" s="41">
        <v>60</v>
      </c>
      <c r="L61" s="41">
        <v>60</v>
      </c>
      <c r="M61" s="43">
        <v>50</v>
      </c>
      <c r="N61" s="41">
        <v>70</v>
      </c>
      <c r="O61" s="42">
        <v>70</v>
      </c>
      <c r="P61" s="43">
        <v>60</v>
      </c>
      <c r="Q61" s="36"/>
    </row>
    <row r="62" spans="2:20" ht="12" customHeight="1" x14ac:dyDescent="0.25">
      <c r="B62" s="186"/>
      <c r="C62" s="5" t="s">
        <v>11</v>
      </c>
      <c r="D62" s="190"/>
      <c r="E62" s="5">
        <v>150</v>
      </c>
      <c r="F62" s="5" t="s">
        <v>17</v>
      </c>
      <c r="G62" s="22" t="s">
        <v>17</v>
      </c>
      <c r="H62" s="21">
        <v>50</v>
      </c>
      <c r="I62" s="5">
        <v>50</v>
      </c>
      <c r="J62" s="22">
        <v>40</v>
      </c>
      <c r="K62" s="21">
        <v>70</v>
      </c>
      <c r="L62" s="21">
        <v>70</v>
      </c>
      <c r="M62" s="22">
        <v>60</v>
      </c>
      <c r="N62" s="21">
        <v>90</v>
      </c>
      <c r="O62" s="5">
        <v>90</v>
      </c>
      <c r="P62" s="22">
        <v>70</v>
      </c>
      <c r="Q62" s="36"/>
    </row>
    <row r="63" spans="2:20" ht="12" customHeight="1" x14ac:dyDescent="0.25">
      <c r="B63" s="186"/>
      <c r="C63" s="5"/>
      <c r="D63" s="190"/>
      <c r="E63" s="5">
        <v>200</v>
      </c>
      <c r="F63" s="5" t="s">
        <v>17</v>
      </c>
      <c r="G63" s="22" t="s">
        <v>17</v>
      </c>
      <c r="H63" s="21">
        <v>60</v>
      </c>
      <c r="I63" s="5">
        <v>60</v>
      </c>
      <c r="J63" s="22">
        <v>70</v>
      </c>
      <c r="K63" s="21">
        <v>90</v>
      </c>
      <c r="L63" s="21">
        <v>90</v>
      </c>
      <c r="M63" s="22">
        <v>70</v>
      </c>
      <c r="N63" s="21">
        <v>120</v>
      </c>
      <c r="O63" s="5">
        <v>120</v>
      </c>
      <c r="P63" s="22">
        <v>95</v>
      </c>
      <c r="Q63" s="36"/>
    </row>
    <row r="64" spans="2:20" ht="12" customHeight="1" thickBot="1" x14ac:dyDescent="0.3">
      <c r="B64" s="187"/>
      <c r="C64" s="44"/>
      <c r="D64" s="191"/>
      <c r="E64" s="44">
        <v>250</v>
      </c>
      <c r="F64" s="44" t="s">
        <v>17</v>
      </c>
      <c r="G64" s="24" t="s">
        <v>17</v>
      </c>
      <c r="H64" s="23">
        <v>70</v>
      </c>
      <c r="I64" s="44">
        <v>70</v>
      </c>
      <c r="J64" s="24">
        <v>60</v>
      </c>
      <c r="K64" s="23">
        <v>105</v>
      </c>
      <c r="L64" s="23">
        <v>105</v>
      </c>
      <c r="M64" s="24">
        <v>85</v>
      </c>
      <c r="N64" s="23">
        <v>150</v>
      </c>
      <c r="O64" s="44">
        <v>150</v>
      </c>
      <c r="P64" s="24">
        <v>120</v>
      </c>
      <c r="Q64" s="36"/>
    </row>
    <row r="65" spans="2:17" s="35" customFormat="1" ht="3" customHeight="1" thickBot="1" x14ac:dyDescent="0.3">
      <c r="B65" s="37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37"/>
    </row>
    <row r="66" spans="2:17" s="48" customFormat="1" ht="18.75" customHeight="1" thickBot="1" x14ac:dyDescent="0.3">
      <c r="B66" s="194" t="s">
        <v>75</v>
      </c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6"/>
    </row>
    <row r="67" spans="2:17" ht="12" customHeight="1" x14ac:dyDescent="0.25">
      <c r="B67" s="185" t="s">
        <v>13</v>
      </c>
      <c r="C67" s="193" t="s">
        <v>5</v>
      </c>
      <c r="D67" s="189" t="s">
        <v>20</v>
      </c>
      <c r="E67" s="42">
        <v>100</v>
      </c>
      <c r="F67" s="42" t="s">
        <v>17</v>
      </c>
      <c r="G67" s="43" t="s">
        <v>17</v>
      </c>
      <c r="H67" s="41">
        <v>45</v>
      </c>
      <c r="I67" s="151">
        <v>45</v>
      </c>
      <c r="J67" s="43"/>
      <c r="K67" s="41">
        <v>60</v>
      </c>
      <c r="L67" s="41">
        <v>60</v>
      </c>
      <c r="M67" s="43"/>
      <c r="N67" s="41">
        <v>70</v>
      </c>
      <c r="O67" s="151">
        <v>70</v>
      </c>
      <c r="P67" s="43"/>
      <c r="Q67" s="36"/>
    </row>
    <row r="68" spans="2:17" ht="12" customHeight="1" x14ac:dyDescent="0.25">
      <c r="B68" s="186"/>
      <c r="C68" s="172"/>
      <c r="D68" s="190"/>
      <c r="E68" s="5">
        <v>150</v>
      </c>
      <c r="F68" s="5" t="s">
        <v>17</v>
      </c>
      <c r="G68" s="22" t="s">
        <v>17</v>
      </c>
      <c r="H68" s="21">
        <v>50</v>
      </c>
      <c r="I68" s="152">
        <v>50</v>
      </c>
      <c r="J68" s="22"/>
      <c r="K68" s="21">
        <v>70</v>
      </c>
      <c r="L68" s="21">
        <v>70</v>
      </c>
      <c r="M68" s="22"/>
      <c r="N68" s="21">
        <v>90</v>
      </c>
      <c r="O68" s="152">
        <v>90</v>
      </c>
      <c r="P68" s="22"/>
      <c r="Q68" s="36"/>
    </row>
    <row r="69" spans="2:17" ht="12" customHeight="1" x14ac:dyDescent="0.25">
      <c r="B69" s="186"/>
      <c r="C69" s="172"/>
      <c r="D69" s="190"/>
      <c r="E69" s="5">
        <v>200</v>
      </c>
      <c r="F69" s="5" t="s">
        <v>17</v>
      </c>
      <c r="G69" s="22" t="s">
        <v>17</v>
      </c>
      <c r="H69" s="21">
        <v>60</v>
      </c>
      <c r="I69" s="152">
        <v>60</v>
      </c>
      <c r="J69" s="22"/>
      <c r="K69" s="21">
        <v>90</v>
      </c>
      <c r="L69" s="21">
        <v>90</v>
      </c>
      <c r="M69" s="22"/>
      <c r="N69" s="21">
        <v>120</v>
      </c>
      <c r="O69" s="152">
        <v>120</v>
      </c>
      <c r="P69" s="22"/>
      <c r="Q69" s="36"/>
    </row>
    <row r="70" spans="2:17" ht="12" customHeight="1" thickBot="1" x14ac:dyDescent="0.3">
      <c r="B70" s="187"/>
      <c r="C70" s="173"/>
      <c r="D70" s="191"/>
      <c r="E70" s="44">
        <v>250</v>
      </c>
      <c r="F70" s="44" t="s">
        <v>17</v>
      </c>
      <c r="G70" s="24" t="s">
        <v>17</v>
      </c>
      <c r="H70" s="23">
        <v>70</v>
      </c>
      <c r="I70" s="153">
        <v>70</v>
      </c>
      <c r="J70" s="24"/>
      <c r="K70" s="23">
        <v>105</v>
      </c>
      <c r="L70" s="23">
        <v>105</v>
      </c>
      <c r="M70" s="24"/>
      <c r="N70" s="23">
        <v>150</v>
      </c>
      <c r="O70" s="153">
        <v>150</v>
      </c>
      <c r="P70" s="24"/>
      <c r="Q70" s="36"/>
    </row>
    <row r="71" spans="2:17" s="35" customFormat="1" ht="3" customHeight="1" thickBot="1" x14ac:dyDescent="0.3">
      <c r="B71" s="37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37"/>
    </row>
    <row r="72" spans="2:17" ht="19.5" customHeight="1" thickBot="1" x14ac:dyDescent="0.3">
      <c r="B72" s="194" t="s">
        <v>76</v>
      </c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6"/>
    </row>
    <row r="73" spans="2:17" ht="12" customHeight="1" x14ac:dyDescent="0.25">
      <c r="B73" s="185" t="s">
        <v>13</v>
      </c>
      <c r="C73" s="193" t="s">
        <v>5</v>
      </c>
      <c r="D73" s="189" t="s">
        <v>20</v>
      </c>
      <c r="E73" s="42">
        <v>100</v>
      </c>
      <c r="F73" s="42" t="s">
        <v>17</v>
      </c>
      <c r="G73" s="43" t="s">
        <v>17</v>
      </c>
      <c r="H73" s="41">
        <v>45</v>
      </c>
      <c r="I73" s="151">
        <v>45</v>
      </c>
      <c r="J73" s="43"/>
      <c r="K73" s="41">
        <v>60</v>
      </c>
      <c r="L73" s="41">
        <v>60</v>
      </c>
      <c r="M73" s="43"/>
      <c r="N73" s="41">
        <v>70</v>
      </c>
      <c r="O73" s="151">
        <v>70</v>
      </c>
      <c r="P73" s="43"/>
      <c r="Q73" s="36"/>
    </row>
    <row r="74" spans="2:17" ht="12" customHeight="1" x14ac:dyDescent="0.25">
      <c r="B74" s="186"/>
      <c r="C74" s="172"/>
      <c r="D74" s="190"/>
      <c r="E74" s="5">
        <v>150</v>
      </c>
      <c r="F74" s="5" t="s">
        <v>17</v>
      </c>
      <c r="G74" s="22" t="s">
        <v>17</v>
      </c>
      <c r="H74" s="21">
        <v>50</v>
      </c>
      <c r="I74" s="152">
        <v>50</v>
      </c>
      <c r="J74" s="22"/>
      <c r="K74" s="21">
        <v>70</v>
      </c>
      <c r="L74" s="21">
        <v>70</v>
      </c>
      <c r="M74" s="22"/>
      <c r="N74" s="21">
        <v>90</v>
      </c>
      <c r="O74" s="152">
        <v>90</v>
      </c>
      <c r="P74" s="22"/>
      <c r="Q74" s="36"/>
    </row>
    <row r="75" spans="2:17" ht="12" customHeight="1" x14ac:dyDescent="0.25">
      <c r="B75" s="186"/>
      <c r="C75" s="172"/>
      <c r="D75" s="190"/>
      <c r="E75" s="5">
        <v>200</v>
      </c>
      <c r="F75" s="5" t="s">
        <v>17</v>
      </c>
      <c r="G75" s="22" t="s">
        <v>17</v>
      </c>
      <c r="H75" s="21">
        <v>60</v>
      </c>
      <c r="I75" s="152">
        <v>60</v>
      </c>
      <c r="J75" s="22"/>
      <c r="K75" s="21">
        <v>90</v>
      </c>
      <c r="L75" s="21">
        <v>90</v>
      </c>
      <c r="M75" s="22"/>
      <c r="N75" s="21">
        <v>120</v>
      </c>
      <c r="O75" s="152">
        <v>120</v>
      </c>
      <c r="P75" s="22"/>
      <c r="Q75" s="36"/>
    </row>
    <row r="76" spans="2:17" ht="12" customHeight="1" thickBot="1" x14ac:dyDescent="0.3">
      <c r="B76" s="187"/>
      <c r="C76" s="173"/>
      <c r="D76" s="191"/>
      <c r="E76" s="44">
        <v>250</v>
      </c>
      <c r="F76" s="44" t="s">
        <v>17</v>
      </c>
      <c r="G76" s="24" t="s">
        <v>17</v>
      </c>
      <c r="H76" s="23">
        <v>70</v>
      </c>
      <c r="I76" s="153">
        <v>70</v>
      </c>
      <c r="J76" s="24"/>
      <c r="K76" s="23">
        <v>105</v>
      </c>
      <c r="L76" s="23">
        <v>105</v>
      </c>
      <c r="M76" s="24"/>
      <c r="N76" s="23">
        <v>150</v>
      </c>
      <c r="O76" s="153">
        <v>150</v>
      </c>
      <c r="P76" s="24"/>
      <c r="Q76" s="36"/>
    </row>
    <row r="77" spans="2:17" s="35" customFormat="1" ht="3" customHeight="1" x14ac:dyDescent="0.25">
      <c r="B77" s="37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37"/>
    </row>
    <row r="81" spans="1:16" s="1" customFormat="1" ht="12" x14ac:dyDescent="0.25">
      <c r="D81" s="4"/>
      <c r="E81" s="4"/>
      <c r="F81" s="4"/>
    </row>
    <row r="82" spans="1:16" s="1" customFormat="1" ht="31.5" customHeight="1" x14ac:dyDescent="0.25">
      <c r="B82" s="29" t="s">
        <v>71</v>
      </c>
      <c r="C82" s="29"/>
      <c r="D82" s="31"/>
      <c r="E82" s="31"/>
      <c r="F82" s="31"/>
      <c r="G82" s="31"/>
      <c r="H82" s="31"/>
      <c r="I82" s="188" t="s">
        <v>70</v>
      </c>
      <c r="J82" s="188"/>
      <c r="K82" s="188"/>
      <c r="L82" s="188"/>
      <c r="M82" s="188"/>
      <c r="N82" s="188"/>
      <c r="O82" s="188"/>
    </row>
    <row r="84" spans="1:16" ht="15" customHeight="1" x14ac:dyDescent="0.25">
      <c r="A84" s="204">
        <v>13</v>
      </c>
      <c r="B84" s="204"/>
      <c r="C84" s="204"/>
      <c r="D84" s="204"/>
      <c r="E84" s="204"/>
      <c r="F84" s="204"/>
      <c r="G84" s="204"/>
      <c r="H84" s="204"/>
      <c r="I84" s="204"/>
      <c r="J84" s="204"/>
      <c r="K84" s="204"/>
      <c r="L84" s="204"/>
      <c r="M84" s="204"/>
      <c r="N84" s="204"/>
      <c r="O84" s="204"/>
      <c r="P84" s="204"/>
    </row>
  </sheetData>
  <mergeCells count="65">
    <mergeCell ref="A84:P84"/>
    <mergeCell ref="E8:E10"/>
    <mergeCell ref="F8:F10"/>
    <mergeCell ref="G8:G10"/>
    <mergeCell ref="C29:O29"/>
    <mergeCell ref="D15:D18"/>
    <mergeCell ref="H8:J8"/>
    <mergeCell ref="K8:M8"/>
    <mergeCell ref="N8:P8"/>
    <mergeCell ref="H9:J9"/>
    <mergeCell ref="K9:M9"/>
    <mergeCell ref="N9:P9"/>
    <mergeCell ref="B8:C10"/>
    <mergeCell ref="B12:P12"/>
    <mergeCell ref="C19:O19"/>
    <mergeCell ref="C24:O24"/>
    <mergeCell ref="B5:P5"/>
    <mergeCell ref="B40:P40"/>
    <mergeCell ref="B46:P46"/>
    <mergeCell ref="D41:D44"/>
    <mergeCell ref="D47:D50"/>
    <mergeCell ref="D20:D23"/>
    <mergeCell ref="C20:C23"/>
    <mergeCell ref="D25:D28"/>
    <mergeCell ref="C25:C28"/>
    <mergeCell ref="D30:D33"/>
    <mergeCell ref="D35:D38"/>
    <mergeCell ref="D8:D10"/>
    <mergeCell ref="C34:O34"/>
    <mergeCell ref="C39:O39"/>
    <mergeCell ref="C45:O45"/>
    <mergeCell ref="B14:P14"/>
    <mergeCell ref="C65:O65"/>
    <mergeCell ref="B47:B50"/>
    <mergeCell ref="B60:P60"/>
    <mergeCell ref="B61:B64"/>
    <mergeCell ref="D61:D64"/>
    <mergeCell ref="B52:B55"/>
    <mergeCell ref="C56:O56"/>
    <mergeCell ref="D52:D55"/>
    <mergeCell ref="C51:O51"/>
    <mergeCell ref="B59:P59"/>
    <mergeCell ref="B66:P66"/>
    <mergeCell ref="B67:B70"/>
    <mergeCell ref="D67:D70"/>
    <mergeCell ref="C71:O71"/>
    <mergeCell ref="B72:P72"/>
    <mergeCell ref="I82:O82"/>
    <mergeCell ref="B73:B76"/>
    <mergeCell ref="D73:D76"/>
    <mergeCell ref="C77:O77"/>
    <mergeCell ref="C67:C70"/>
    <mergeCell ref="C73:C76"/>
    <mergeCell ref="C30:C33"/>
    <mergeCell ref="B58:P58"/>
    <mergeCell ref="B6:P6"/>
    <mergeCell ref="B7:P7"/>
    <mergeCell ref="B15:B18"/>
    <mergeCell ref="B13:P13"/>
    <mergeCell ref="B20:B23"/>
    <mergeCell ref="C35:C38"/>
    <mergeCell ref="B30:B33"/>
    <mergeCell ref="B25:B28"/>
    <mergeCell ref="B35:B38"/>
    <mergeCell ref="B41:B44"/>
  </mergeCells>
  <pageMargins left="0.31496062992125984" right="0.31496062992125984" top="0.39370078740157483" bottom="0.39370078740157483" header="0" footer="0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1"/>
  <sheetViews>
    <sheetView tabSelected="1" view="pageBreakPreview" zoomScaleNormal="100" zoomScaleSheetLayoutView="100" workbookViewId="0">
      <selection activeCell="P3" sqref="P3"/>
    </sheetView>
  </sheetViews>
  <sheetFormatPr defaultRowHeight="12" x14ac:dyDescent="0.25"/>
  <cols>
    <col min="1" max="1" width="2" style="1" customWidth="1"/>
    <col min="2" max="2" width="3.5703125" style="1" customWidth="1"/>
    <col min="3" max="3" width="10.5703125" style="1" customWidth="1"/>
    <col min="4" max="4" width="11.7109375" style="1" customWidth="1"/>
    <col min="5" max="5" width="6.5703125" style="4" customWidth="1"/>
    <col min="6" max="6" width="8.140625" style="4" customWidth="1"/>
    <col min="7" max="7" width="6.5703125" style="4" customWidth="1"/>
    <col min="8" max="8" width="6.5703125" style="1" customWidth="1"/>
    <col min="9" max="9" width="4.28515625" style="1" customWidth="1"/>
    <col min="10" max="11" width="6.5703125" style="1" customWidth="1"/>
    <col min="12" max="12" width="4.28515625" style="1" customWidth="1"/>
    <col min="13" max="14" width="6.5703125" style="1" customWidth="1"/>
    <col min="15" max="15" width="4.28515625" style="1" customWidth="1"/>
    <col min="16" max="16" width="6.5703125" style="1" customWidth="1"/>
    <col min="17" max="16384" width="9.140625" style="1"/>
  </cols>
  <sheetData>
    <row r="1" spans="2:16" ht="14.25" x14ac:dyDescent="0.25">
      <c r="C1" s="12"/>
      <c r="D1" s="12"/>
      <c r="E1" s="3"/>
      <c r="F1" s="3"/>
      <c r="G1" s="3"/>
      <c r="H1" s="12"/>
      <c r="I1" s="12"/>
      <c r="M1" s="12"/>
      <c r="N1" s="266" t="s">
        <v>95</v>
      </c>
      <c r="O1" s="266"/>
      <c r="P1" s="266"/>
    </row>
    <row r="2" spans="2:16" ht="15.75" x14ac:dyDescent="0.25">
      <c r="C2" s="19"/>
      <c r="D2" s="19"/>
      <c r="E2" s="3"/>
      <c r="F2" s="3"/>
      <c r="G2" s="3"/>
      <c r="H2" s="19"/>
      <c r="I2" s="19"/>
      <c r="M2" s="19"/>
      <c r="N2" s="166"/>
      <c r="O2" s="166"/>
      <c r="P2" s="167" t="s">
        <v>97</v>
      </c>
    </row>
    <row r="3" spans="2:16" ht="16.5" thickBot="1" x14ac:dyDescent="0.3">
      <c r="C3" s="19"/>
      <c r="D3" s="19"/>
      <c r="E3" s="3"/>
      <c r="F3" s="3"/>
      <c r="G3" s="3"/>
      <c r="H3" s="19"/>
      <c r="I3" s="19"/>
      <c r="M3" s="19"/>
      <c r="N3" s="166"/>
      <c r="O3" s="166"/>
      <c r="P3" s="167" t="s">
        <v>72</v>
      </c>
    </row>
    <row r="4" spans="2:16" ht="26.25" customHeight="1" x14ac:dyDescent="0.25">
      <c r="B4" s="218" t="s">
        <v>0</v>
      </c>
      <c r="C4" s="200"/>
      <c r="D4" s="200" t="s">
        <v>96</v>
      </c>
      <c r="E4" s="205" t="s">
        <v>24</v>
      </c>
      <c r="F4" s="205" t="s">
        <v>10</v>
      </c>
      <c r="G4" s="205" t="s">
        <v>12</v>
      </c>
      <c r="H4" s="200" t="s">
        <v>1</v>
      </c>
      <c r="I4" s="200"/>
      <c r="J4" s="200"/>
      <c r="K4" s="200" t="s">
        <v>1</v>
      </c>
      <c r="L4" s="200"/>
      <c r="M4" s="200"/>
      <c r="N4" s="200" t="s">
        <v>1</v>
      </c>
      <c r="O4" s="200"/>
      <c r="P4" s="219"/>
    </row>
    <row r="5" spans="2:16" ht="38.25" customHeight="1" x14ac:dyDescent="0.25">
      <c r="B5" s="223"/>
      <c r="C5" s="201"/>
      <c r="D5" s="201"/>
      <c r="E5" s="206"/>
      <c r="F5" s="206"/>
      <c r="G5" s="206"/>
      <c r="H5" s="201" t="s">
        <v>7</v>
      </c>
      <c r="I5" s="201"/>
      <c r="J5" s="201"/>
      <c r="K5" s="201" t="s">
        <v>2</v>
      </c>
      <c r="L5" s="201"/>
      <c r="M5" s="201"/>
      <c r="N5" s="201" t="s">
        <v>3</v>
      </c>
      <c r="O5" s="201"/>
      <c r="P5" s="224"/>
    </row>
    <row r="6" spans="2:16" ht="45.75" thickBot="1" x14ac:dyDescent="0.3">
      <c r="B6" s="256"/>
      <c r="C6" s="202"/>
      <c r="D6" s="202"/>
      <c r="E6" s="207"/>
      <c r="F6" s="207"/>
      <c r="G6" s="207"/>
      <c r="H6" s="68" t="s">
        <v>4</v>
      </c>
      <c r="I6" s="25" t="s">
        <v>5</v>
      </c>
      <c r="J6" s="68" t="s">
        <v>6</v>
      </c>
      <c r="K6" s="68" t="s">
        <v>4</v>
      </c>
      <c r="L6" s="25" t="s">
        <v>5</v>
      </c>
      <c r="M6" s="68" t="s">
        <v>6</v>
      </c>
      <c r="N6" s="68" t="s">
        <v>4</v>
      </c>
      <c r="O6" s="25" t="s">
        <v>5</v>
      </c>
      <c r="P6" s="24" t="s">
        <v>6</v>
      </c>
    </row>
    <row r="7" spans="2:16" ht="16.5" customHeight="1" thickBot="1" x14ac:dyDescent="0.3">
      <c r="B7" s="263" t="s">
        <v>67</v>
      </c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5"/>
    </row>
    <row r="8" spans="2:16" ht="18.75" customHeight="1" thickBot="1" x14ac:dyDescent="0.3">
      <c r="B8" s="247" t="s">
        <v>60</v>
      </c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9"/>
    </row>
    <row r="9" spans="2:16" ht="12" customHeight="1" x14ac:dyDescent="0.25">
      <c r="B9" s="185" t="s">
        <v>13</v>
      </c>
      <c r="C9" s="66" t="s">
        <v>52</v>
      </c>
      <c r="D9" s="189" t="s">
        <v>20</v>
      </c>
      <c r="E9" s="69">
        <v>100</v>
      </c>
      <c r="F9" s="69">
        <v>1019</v>
      </c>
      <c r="G9" s="92">
        <v>16</v>
      </c>
      <c r="H9" s="41">
        <f>45*85/100</f>
        <v>38.25</v>
      </c>
      <c r="I9" s="66">
        <f>45*85/100</f>
        <v>38.25</v>
      </c>
      <c r="J9" s="160">
        <f>50*85/100</f>
        <v>42.5</v>
      </c>
      <c r="K9" s="41">
        <f>60*85/100</f>
        <v>51</v>
      </c>
      <c r="L9" s="66">
        <f>60*85/100</f>
        <v>51</v>
      </c>
      <c r="M9" s="160">
        <f>60*85/100</f>
        <v>51</v>
      </c>
      <c r="N9" s="41">
        <f>70*85/100</f>
        <v>59.5</v>
      </c>
      <c r="O9" s="66">
        <f>70*85/100</f>
        <v>59.5</v>
      </c>
      <c r="P9" s="43">
        <f>85*85/100</f>
        <v>72.25</v>
      </c>
    </row>
    <row r="10" spans="2:16" x14ac:dyDescent="0.25">
      <c r="B10" s="186"/>
      <c r="C10" s="67" t="s">
        <v>49</v>
      </c>
      <c r="D10" s="190"/>
      <c r="E10" s="70">
        <v>150</v>
      </c>
      <c r="F10" s="70">
        <v>1019</v>
      </c>
      <c r="G10" s="156">
        <v>16</v>
      </c>
      <c r="H10" s="21">
        <f>50*85/100</f>
        <v>42.5</v>
      </c>
      <c r="I10" s="67">
        <f>50*85/100</f>
        <v>42.5</v>
      </c>
      <c r="J10" s="147">
        <f>80*85/100</f>
        <v>68</v>
      </c>
      <c r="K10" s="21">
        <f>70*85/100</f>
        <v>59.5</v>
      </c>
      <c r="L10" s="67">
        <f>70*85/100</f>
        <v>59.5</v>
      </c>
      <c r="M10" s="147">
        <f>110*85/100</f>
        <v>93.5</v>
      </c>
      <c r="N10" s="21">
        <f>90*85/100</f>
        <v>76.5</v>
      </c>
      <c r="O10" s="67">
        <f>90*85/100</f>
        <v>76.5</v>
      </c>
      <c r="P10" s="22">
        <f>150*85/100</f>
        <v>127.5</v>
      </c>
    </row>
    <row r="11" spans="2:16" x14ac:dyDescent="0.25">
      <c r="B11" s="186"/>
      <c r="C11" s="67" t="s">
        <v>47</v>
      </c>
      <c r="D11" s="190"/>
      <c r="E11" s="70">
        <v>200</v>
      </c>
      <c r="F11" s="70">
        <v>1019</v>
      </c>
      <c r="G11" s="156">
        <v>16</v>
      </c>
      <c r="H11" s="21">
        <f>60*85/100</f>
        <v>51</v>
      </c>
      <c r="I11" s="67">
        <f>60*85/100</f>
        <v>51</v>
      </c>
      <c r="J11" s="147">
        <f t="shared" ref="J11:J12" si="0">80*85/100</f>
        <v>68</v>
      </c>
      <c r="K11" s="21">
        <f>90*85/100</f>
        <v>76.5</v>
      </c>
      <c r="L11" s="67">
        <f>90*85/100</f>
        <v>76.5</v>
      </c>
      <c r="M11" s="147">
        <f>160*85/100</f>
        <v>136</v>
      </c>
      <c r="N11" s="21">
        <f>120*85/100</f>
        <v>102</v>
      </c>
      <c r="O11" s="67">
        <f>120*85/100</f>
        <v>102</v>
      </c>
      <c r="P11" s="22">
        <f>190*85/100</f>
        <v>161.5</v>
      </c>
    </row>
    <row r="12" spans="2:16" x14ac:dyDescent="0.25">
      <c r="B12" s="186"/>
      <c r="C12" s="67" t="s">
        <v>50</v>
      </c>
      <c r="D12" s="190"/>
      <c r="E12" s="70">
        <v>250</v>
      </c>
      <c r="F12" s="70">
        <v>1019</v>
      </c>
      <c r="G12" s="156">
        <v>16</v>
      </c>
      <c r="H12" s="21">
        <f>70*85/100</f>
        <v>59.5</v>
      </c>
      <c r="I12" s="67">
        <f>70*85/100</f>
        <v>59.5</v>
      </c>
      <c r="J12" s="147">
        <f t="shared" si="0"/>
        <v>68</v>
      </c>
      <c r="K12" s="21">
        <f>105*85/100</f>
        <v>89.25</v>
      </c>
      <c r="L12" s="67">
        <f>105*85/100</f>
        <v>89.25</v>
      </c>
      <c r="M12" s="147">
        <f>200*85/100</f>
        <v>170</v>
      </c>
      <c r="N12" s="21">
        <f>150*85/100</f>
        <v>127.5</v>
      </c>
      <c r="O12" s="67">
        <f>150*85/100</f>
        <v>127.5</v>
      </c>
      <c r="P12" s="22">
        <f>255*85/100</f>
        <v>216.75</v>
      </c>
    </row>
    <row r="13" spans="2:16" ht="12.75" thickBot="1" x14ac:dyDescent="0.3">
      <c r="B13" s="187"/>
      <c r="C13" s="68" t="s">
        <v>11</v>
      </c>
      <c r="D13" s="106" t="s">
        <v>54</v>
      </c>
      <c r="E13" s="68"/>
      <c r="F13" s="68"/>
      <c r="G13" s="45"/>
      <c r="H13" s="23"/>
      <c r="I13" s="68"/>
      <c r="J13" s="45"/>
      <c r="K13" s="23"/>
      <c r="L13" s="68"/>
      <c r="M13" s="45"/>
      <c r="N13" s="23"/>
      <c r="O13" s="68"/>
      <c r="P13" s="24"/>
    </row>
    <row r="14" spans="2:16" ht="3" customHeight="1" thickBot="1" x14ac:dyDescent="0.3">
      <c r="B14" s="95"/>
      <c r="C14" s="65"/>
      <c r="D14" s="98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</row>
    <row r="15" spans="2:16" ht="18" customHeight="1" thickBot="1" x14ac:dyDescent="0.3">
      <c r="B15" s="247" t="s">
        <v>61</v>
      </c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9"/>
    </row>
    <row r="16" spans="2:16" ht="15" customHeight="1" x14ac:dyDescent="0.25">
      <c r="B16" s="185" t="s">
        <v>13</v>
      </c>
      <c r="C16" s="66" t="s">
        <v>52</v>
      </c>
      <c r="D16" s="189" t="s">
        <v>20</v>
      </c>
      <c r="E16" s="69">
        <v>100</v>
      </c>
      <c r="F16" s="69">
        <v>1441</v>
      </c>
      <c r="G16" s="92">
        <v>46</v>
      </c>
      <c r="H16" s="41">
        <f>45*85/100</f>
        <v>38.25</v>
      </c>
      <c r="I16" s="66">
        <f>45*85/100</f>
        <v>38.25</v>
      </c>
      <c r="J16" s="160">
        <f>50*85/100</f>
        <v>42.5</v>
      </c>
      <c r="K16" s="41">
        <f>60*85/100</f>
        <v>51</v>
      </c>
      <c r="L16" s="66">
        <f>60*85/100</f>
        <v>51</v>
      </c>
      <c r="M16" s="160">
        <f>60*85/100</f>
        <v>51</v>
      </c>
      <c r="N16" s="41">
        <f>70*85/100</f>
        <v>59.5</v>
      </c>
      <c r="O16" s="66">
        <f>70*85/100</f>
        <v>59.5</v>
      </c>
      <c r="P16" s="43">
        <f>85*85/100</f>
        <v>72.25</v>
      </c>
    </row>
    <row r="17" spans="2:16" x14ac:dyDescent="0.25">
      <c r="B17" s="186"/>
      <c r="C17" s="67" t="s">
        <v>49</v>
      </c>
      <c r="D17" s="190"/>
      <c r="E17" s="70">
        <v>150</v>
      </c>
      <c r="F17" s="70">
        <v>1441</v>
      </c>
      <c r="G17" s="156">
        <v>46</v>
      </c>
      <c r="H17" s="21">
        <f>50*85/100</f>
        <v>42.5</v>
      </c>
      <c r="I17" s="67">
        <f>50*85/100</f>
        <v>42.5</v>
      </c>
      <c r="J17" s="147">
        <f>80*85/100</f>
        <v>68</v>
      </c>
      <c r="K17" s="21">
        <f>70*85/100</f>
        <v>59.5</v>
      </c>
      <c r="L17" s="67">
        <f>70*85/100</f>
        <v>59.5</v>
      </c>
      <c r="M17" s="147">
        <f>110*85/100</f>
        <v>93.5</v>
      </c>
      <c r="N17" s="21">
        <f>90*85/100</f>
        <v>76.5</v>
      </c>
      <c r="O17" s="67">
        <f>90*85/100</f>
        <v>76.5</v>
      </c>
      <c r="P17" s="22">
        <f>150*85/100</f>
        <v>127.5</v>
      </c>
    </row>
    <row r="18" spans="2:16" x14ac:dyDescent="0.25">
      <c r="B18" s="186"/>
      <c r="C18" s="67" t="s">
        <v>47</v>
      </c>
      <c r="D18" s="190"/>
      <c r="E18" s="70">
        <v>200</v>
      </c>
      <c r="F18" s="70">
        <v>1441</v>
      </c>
      <c r="G18" s="156">
        <v>46</v>
      </c>
      <c r="H18" s="21">
        <f>60*85/100</f>
        <v>51</v>
      </c>
      <c r="I18" s="67">
        <f>60*85/100</f>
        <v>51</v>
      </c>
      <c r="J18" s="147">
        <f t="shared" ref="J18:J19" si="1">80*85/100</f>
        <v>68</v>
      </c>
      <c r="K18" s="21">
        <f>90*85/100</f>
        <v>76.5</v>
      </c>
      <c r="L18" s="67">
        <f>90*85/100</f>
        <v>76.5</v>
      </c>
      <c r="M18" s="147">
        <f>160*85/100</f>
        <v>136</v>
      </c>
      <c r="N18" s="21">
        <f>120*85/100</f>
        <v>102</v>
      </c>
      <c r="O18" s="67">
        <f>120*85/100</f>
        <v>102</v>
      </c>
      <c r="P18" s="22">
        <f>190*85/100</f>
        <v>161.5</v>
      </c>
    </row>
    <row r="19" spans="2:16" x14ac:dyDescent="0.25">
      <c r="B19" s="186"/>
      <c r="C19" s="67" t="s">
        <v>50</v>
      </c>
      <c r="D19" s="190"/>
      <c r="E19" s="70">
        <v>250</v>
      </c>
      <c r="F19" s="70">
        <v>1441</v>
      </c>
      <c r="G19" s="156">
        <v>46</v>
      </c>
      <c r="H19" s="21">
        <f>70*85/100</f>
        <v>59.5</v>
      </c>
      <c r="I19" s="67">
        <f>70*85/100</f>
        <v>59.5</v>
      </c>
      <c r="J19" s="147">
        <f t="shared" si="1"/>
        <v>68</v>
      </c>
      <c r="K19" s="21">
        <f>105*85/100</f>
        <v>89.25</v>
      </c>
      <c r="L19" s="67">
        <f>105*85/100</f>
        <v>89.25</v>
      </c>
      <c r="M19" s="147">
        <f>200*85/100</f>
        <v>170</v>
      </c>
      <c r="N19" s="21">
        <f>150*85/100</f>
        <v>127.5</v>
      </c>
      <c r="O19" s="67">
        <f>150*85/100</f>
        <v>127.5</v>
      </c>
      <c r="P19" s="22">
        <f>255*85/100</f>
        <v>216.75</v>
      </c>
    </row>
    <row r="20" spans="2:16" ht="12.75" thickBot="1" x14ac:dyDescent="0.3">
      <c r="B20" s="187"/>
      <c r="C20" s="68" t="s">
        <v>11</v>
      </c>
      <c r="D20" s="106" t="s">
        <v>54</v>
      </c>
      <c r="E20" s="68"/>
      <c r="F20" s="68"/>
      <c r="G20" s="45"/>
      <c r="H20" s="23"/>
      <c r="I20" s="68"/>
      <c r="J20" s="45"/>
      <c r="K20" s="23"/>
      <c r="L20" s="68"/>
      <c r="M20" s="45"/>
      <c r="N20" s="23"/>
      <c r="O20" s="68"/>
      <c r="P20" s="24"/>
    </row>
    <row r="21" spans="2:16" hidden="1" x14ac:dyDescent="0.25">
      <c r="B21" s="89"/>
      <c r="C21" s="257" t="s">
        <v>62</v>
      </c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9"/>
    </row>
    <row r="22" spans="2:16" hidden="1" x14ac:dyDescent="0.25">
      <c r="B22" s="34"/>
      <c r="C22" s="9" t="s">
        <v>63</v>
      </c>
      <c r="D22" s="9" t="s">
        <v>8</v>
      </c>
      <c r="E22" s="260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2"/>
    </row>
    <row r="23" spans="2:16" ht="24" hidden="1" x14ac:dyDescent="0.25">
      <c r="B23" s="34"/>
      <c r="C23" s="15" t="s">
        <v>52</v>
      </c>
      <c r="D23" s="15">
        <v>3010.7739999999999</v>
      </c>
      <c r="E23" s="10">
        <v>100</v>
      </c>
      <c r="F23" s="10">
        <v>1270</v>
      </c>
      <c r="G23" s="16" t="s">
        <v>64</v>
      </c>
      <c r="H23" s="17">
        <f>100*85/100</f>
        <v>85</v>
      </c>
      <c r="I23" s="15">
        <f>70*85/100</f>
        <v>59.5</v>
      </c>
      <c r="J23" s="18">
        <f>35*85/100</f>
        <v>29.75</v>
      </c>
      <c r="K23" s="14">
        <f>110*85/100</f>
        <v>93.5</v>
      </c>
      <c r="L23" s="15">
        <f>85*85/100</f>
        <v>72.25</v>
      </c>
      <c r="M23" s="18">
        <f>50*85/100</f>
        <v>42.5</v>
      </c>
      <c r="N23" s="14">
        <f>140*85/100</f>
        <v>119</v>
      </c>
      <c r="O23" s="15">
        <f>100*85/100</f>
        <v>85</v>
      </c>
      <c r="P23" s="18">
        <f>60*85/100</f>
        <v>51</v>
      </c>
    </row>
    <row r="24" spans="2:16" ht="24" hidden="1" x14ac:dyDescent="0.25">
      <c r="B24" s="34"/>
      <c r="C24" s="15" t="s">
        <v>49</v>
      </c>
      <c r="D24" s="15">
        <v>11492.694</v>
      </c>
      <c r="E24" s="10">
        <v>150</v>
      </c>
      <c r="F24" s="10">
        <v>1270</v>
      </c>
      <c r="G24" s="16" t="s">
        <v>64</v>
      </c>
      <c r="H24" s="17">
        <f>100*85/100</f>
        <v>85</v>
      </c>
      <c r="I24" s="15">
        <f>90*85/100</f>
        <v>76.5</v>
      </c>
      <c r="J24" s="18">
        <f>40*85/100</f>
        <v>34</v>
      </c>
      <c r="K24" s="14">
        <f>200*85/100</f>
        <v>170</v>
      </c>
      <c r="L24" s="15">
        <f>200*85/100</f>
        <v>170</v>
      </c>
      <c r="M24" s="18">
        <f>60*85/100</f>
        <v>51</v>
      </c>
      <c r="N24" s="14">
        <f>280*85/100</f>
        <v>238</v>
      </c>
      <c r="O24" s="15">
        <f>230*85/100</f>
        <v>195.5</v>
      </c>
      <c r="P24" s="18">
        <f>70*85/100</f>
        <v>59.5</v>
      </c>
    </row>
    <row r="25" spans="2:16" ht="24" hidden="1" x14ac:dyDescent="0.25">
      <c r="B25" s="34"/>
      <c r="C25" s="15" t="s">
        <v>47</v>
      </c>
      <c r="D25" s="15">
        <v>5058.5889999999999</v>
      </c>
      <c r="E25" s="10">
        <v>200</v>
      </c>
      <c r="F25" s="10">
        <v>1270</v>
      </c>
      <c r="G25" s="16" t="s">
        <v>64</v>
      </c>
      <c r="H25" s="17">
        <f>100*85/100</f>
        <v>85</v>
      </c>
      <c r="I25" s="15">
        <f t="shared" ref="I25:I26" si="2">90*85/100</f>
        <v>76.5</v>
      </c>
      <c r="J25" s="18">
        <f>50*85/100</f>
        <v>42.5</v>
      </c>
      <c r="K25" s="14">
        <f>270*85/100</f>
        <v>229.5</v>
      </c>
      <c r="L25" s="15">
        <f>235*85/100</f>
        <v>199.75</v>
      </c>
      <c r="M25" s="18">
        <f>70*85/100</f>
        <v>59.5</v>
      </c>
      <c r="N25" s="14">
        <f>380*85/100</f>
        <v>323</v>
      </c>
      <c r="O25" s="15">
        <f>380*85/100</f>
        <v>323</v>
      </c>
      <c r="P25" s="18">
        <f>95*85/100</f>
        <v>80.75</v>
      </c>
    </row>
    <row r="26" spans="2:16" ht="24" hidden="1" x14ac:dyDescent="0.25">
      <c r="B26" s="34"/>
      <c r="C26" s="15" t="s">
        <v>50</v>
      </c>
      <c r="D26" s="15">
        <v>2782.8240000000001</v>
      </c>
      <c r="E26" s="15">
        <v>250</v>
      </c>
      <c r="F26" s="15">
        <v>1270</v>
      </c>
      <c r="G26" s="16" t="s">
        <v>64</v>
      </c>
      <c r="H26" s="17">
        <f>100*85/100</f>
        <v>85</v>
      </c>
      <c r="I26" s="15">
        <f t="shared" si="2"/>
        <v>76.5</v>
      </c>
      <c r="J26" s="18">
        <f>60*85/100</f>
        <v>51</v>
      </c>
      <c r="K26" s="14">
        <f>270*85/100</f>
        <v>229.5</v>
      </c>
      <c r="L26" s="15">
        <f>235*85/100</f>
        <v>199.75</v>
      </c>
      <c r="M26" s="18">
        <f>85*85/100</f>
        <v>72.25</v>
      </c>
      <c r="N26" s="14">
        <f>445*85/100</f>
        <v>378.25</v>
      </c>
      <c r="O26" s="15">
        <f>410*85/100</f>
        <v>348.5</v>
      </c>
      <c r="P26" s="18">
        <f>120*85/100</f>
        <v>102</v>
      </c>
    </row>
    <row r="27" spans="2:16" hidden="1" x14ac:dyDescent="0.25">
      <c r="B27" s="34"/>
      <c r="C27" s="15" t="s">
        <v>15</v>
      </c>
      <c r="D27" s="15">
        <f>D23+D24+D25+D26</f>
        <v>22344.881000000001</v>
      </c>
      <c r="E27" s="15"/>
      <c r="F27" s="15"/>
      <c r="G27" s="13"/>
      <c r="H27" s="17"/>
      <c r="I27" s="15"/>
      <c r="J27" s="18"/>
      <c r="K27" s="14"/>
      <c r="L27" s="15"/>
      <c r="M27" s="18"/>
      <c r="N27" s="14"/>
      <c r="O27" s="15"/>
      <c r="P27" s="18"/>
    </row>
    <row r="28" spans="2:16" hidden="1" x14ac:dyDescent="0.25">
      <c r="B28" s="34"/>
      <c r="C28" s="15"/>
      <c r="D28" s="8" t="s">
        <v>20</v>
      </c>
      <c r="E28" s="15"/>
      <c r="F28" s="15"/>
      <c r="G28" s="13"/>
      <c r="H28" s="17"/>
      <c r="I28" s="15"/>
      <c r="J28" s="18"/>
      <c r="K28" s="14"/>
      <c r="L28" s="15"/>
      <c r="M28" s="18"/>
      <c r="N28" s="14"/>
      <c r="O28" s="15"/>
      <c r="P28" s="18"/>
    </row>
    <row r="29" spans="2:16" hidden="1" x14ac:dyDescent="0.25">
      <c r="B29" s="34"/>
      <c r="C29" s="15" t="s">
        <v>11</v>
      </c>
      <c r="D29" s="15">
        <v>4477.0050000000001</v>
      </c>
      <c r="E29" s="15"/>
      <c r="F29" s="15"/>
      <c r="G29" s="13"/>
      <c r="H29" s="17"/>
      <c r="I29" s="15"/>
      <c r="J29" s="18"/>
      <c r="K29" s="14"/>
      <c r="L29" s="15"/>
      <c r="M29" s="18"/>
      <c r="N29" s="14"/>
      <c r="O29" s="15"/>
      <c r="P29" s="18"/>
    </row>
    <row r="30" spans="2:16" ht="3" customHeight="1" thickBot="1" x14ac:dyDescent="0.3">
      <c r="B30" s="95"/>
      <c r="C30" s="65"/>
      <c r="D30" s="98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</row>
    <row r="31" spans="2:16" ht="15.75" customHeight="1" thickBot="1" x14ac:dyDescent="0.3">
      <c r="B31" s="247" t="s">
        <v>59</v>
      </c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9"/>
    </row>
    <row r="32" spans="2:16" ht="12" customHeight="1" x14ac:dyDescent="0.25">
      <c r="B32" s="185" t="s">
        <v>13</v>
      </c>
      <c r="C32" s="66" t="s">
        <v>49</v>
      </c>
      <c r="D32" s="189" t="s">
        <v>54</v>
      </c>
      <c r="E32" s="69">
        <v>100</v>
      </c>
      <c r="F32" s="69">
        <v>1080</v>
      </c>
      <c r="G32" s="92">
        <v>0</v>
      </c>
      <c r="H32" s="41">
        <f>60*85/100</f>
        <v>51</v>
      </c>
      <c r="I32" s="66">
        <f>60*85/100</f>
        <v>51</v>
      </c>
      <c r="J32" s="160">
        <f>50*85/100</f>
        <v>42.5</v>
      </c>
      <c r="K32" s="41">
        <f>70*85/100</f>
        <v>59.5</v>
      </c>
      <c r="L32" s="66">
        <f>70*85/100</f>
        <v>59.5</v>
      </c>
      <c r="M32" s="160">
        <f>60*85/100</f>
        <v>51</v>
      </c>
      <c r="N32" s="41">
        <f>110*85/100</f>
        <v>93.5</v>
      </c>
      <c r="O32" s="66">
        <f>100*85/100</f>
        <v>85</v>
      </c>
      <c r="P32" s="43">
        <f>85*85/100</f>
        <v>72.25</v>
      </c>
    </row>
    <row r="33" spans="2:16" x14ac:dyDescent="0.25">
      <c r="B33" s="186"/>
      <c r="C33" s="67" t="s">
        <v>47</v>
      </c>
      <c r="D33" s="190"/>
      <c r="E33" s="70">
        <v>150</v>
      </c>
      <c r="F33" s="70">
        <v>1080</v>
      </c>
      <c r="G33" s="156">
        <v>0</v>
      </c>
      <c r="H33" s="21">
        <f>100*85/100</f>
        <v>85</v>
      </c>
      <c r="I33" s="67">
        <f>90*85/100</f>
        <v>76.5</v>
      </c>
      <c r="J33" s="147">
        <f>80*85/100</f>
        <v>68</v>
      </c>
      <c r="K33" s="21">
        <f>140*85/100</f>
        <v>119</v>
      </c>
      <c r="L33" s="67">
        <f>140*85/100</f>
        <v>119</v>
      </c>
      <c r="M33" s="147">
        <f>110*85/100</f>
        <v>93.5</v>
      </c>
      <c r="N33" s="21">
        <f>185*85/100</f>
        <v>157.25</v>
      </c>
      <c r="O33" s="67">
        <f>185*85/100</f>
        <v>157.25</v>
      </c>
      <c r="P33" s="22">
        <f>150*85/100</f>
        <v>127.5</v>
      </c>
    </row>
    <row r="34" spans="2:16" x14ac:dyDescent="0.25">
      <c r="B34" s="186"/>
      <c r="C34" s="67" t="s">
        <v>11</v>
      </c>
      <c r="D34" s="97" t="s">
        <v>54</v>
      </c>
      <c r="E34" s="70">
        <v>200</v>
      </c>
      <c r="F34" s="70">
        <v>1080</v>
      </c>
      <c r="G34" s="156">
        <v>0</v>
      </c>
      <c r="H34" s="21">
        <f>100*85/100</f>
        <v>85</v>
      </c>
      <c r="I34" s="67">
        <f>90*85/100</f>
        <v>76.5</v>
      </c>
      <c r="J34" s="147">
        <f>80*85/100</f>
        <v>68</v>
      </c>
      <c r="K34" s="21">
        <f>200*85/100</f>
        <v>170</v>
      </c>
      <c r="L34" s="67">
        <f>200*85/100</f>
        <v>170</v>
      </c>
      <c r="M34" s="147">
        <f>160*85/100</f>
        <v>136</v>
      </c>
      <c r="N34" s="21">
        <f>240*85/100</f>
        <v>204</v>
      </c>
      <c r="O34" s="67">
        <f>240*85/100</f>
        <v>204</v>
      </c>
      <c r="P34" s="22">
        <f>190*85/100</f>
        <v>161.5</v>
      </c>
    </row>
    <row r="35" spans="2:16" ht="12.75" thickBot="1" x14ac:dyDescent="0.3">
      <c r="B35" s="187"/>
      <c r="C35" s="173"/>
      <c r="D35" s="173"/>
      <c r="E35" s="71">
        <v>250</v>
      </c>
      <c r="F35" s="71">
        <v>1080</v>
      </c>
      <c r="G35" s="155">
        <v>0</v>
      </c>
      <c r="H35" s="23">
        <f>100*85/100</f>
        <v>85</v>
      </c>
      <c r="I35" s="68">
        <f>90*85/100</f>
        <v>76.5</v>
      </c>
      <c r="J35" s="45">
        <f>80*85/100</f>
        <v>68</v>
      </c>
      <c r="K35" s="23">
        <f>250*85/100</f>
        <v>212.5</v>
      </c>
      <c r="L35" s="68">
        <f>250*85/100</f>
        <v>212.5</v>
      </c>
      <c r="M35" s="45">
        <f>200*85/100</f>
        <v>170</v>
      </c>
      <c r="N35" s="23">
        <f>320*85/100</f>
        <v>272</v>
      </c>
      <c r="O35" s="68">
        <f>320*85/100</f>
        <v>272</v>
      </c>
      <c r="P35" s="24">
        <f>255*85/100</f>
        <v>216.75</v>
      </c>
    </row>
    <row r="36" spans="2:16" ht="3" customHeight="1" thickBot="1" x14ac:dyDescent="0.3">
      <c r="B36" s="95"/>
      <c r="C36" s="65"/>
      <c r="D36" s="98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</row>
    <row r="37" spans="2:16" ht="12" customHeight="1" x14ac:dyDescent="0.25">
      <c r="B37" s="185" t="s">
        <v>19</v>
      </c>
      <c r="C37" s="66" t="s">
        <v>49</v>
      </c>
      <c r="D37" s="189" t="s">
        <v>54</v>
      </c>
      <c r="E37" s="69">
        <v>100</v>
      </c>
      <c r="F37" s="69">
        <v>762</v>
      </c>
      <c r="G37" s="92">
        <v>0</v>
      </c>
      <c r="H37" s="41">
        <v>60</v>
      </c>
      <c r="I37" s="66">
        <v>60</v>
      </c>
      <c r="J37" s="160"/>
      <c r="K37" s="41">
        <v>70</v>
      </c>
      <c r="L37" s="66">
        <v>70</v>
      </c>
      <c r="M37" s="160"/>
      <c r="N37" s="41">
        <v>110</v>
      </c>
      <c r="O37" s="66">
        <v>100</v>
      </c>
      <c r="P37" s="43"/>
    </row>
    <row r="38" spans="2:16" x14ac:dyDescent="0.25">
      <c r="B38" s="186"/>
      <c r="C38" s="67" t="s">
        <v>47</v>
      </c>
      <c r="D38" s="190"/>
      <c r="E38" s="70">
        <v>150</v>
      </c>
      <c r="F38" s="70">
        <v>762</v>
      </c>
      <c r="G38" s="156">
        <v>0</v>
      </c>
      <c r="H38" s="21">
        <v>100</v>
      </c>
      <c r="I38" s="67">
        <v>90</v>
      </c>
      <c r="J38" s="147"/>
      <c r="K38" s="21">
        <v>140</v>
      </c>
      <c r="L38" s="67">
        <v>140</v>
      </c>
      <c r="M38" s="147"/>
      <c r="N38" s="21">
        <v>185</v>
      </c>
      <c r="O38" s="67">
        <v>185</v>
      </c>
      <c r="P38" s="22"/>
    </row>
    <row r="39" spans="2:16" x14ac:dyDescent="0.25">
      <c r="B39" s="186"/>
      <c r="C39" s="67" t="s">
        <v>52</v>
      </c>
      <c r="D39" s="190"/>
      <c r="E39" s="70">
        <v>200</v>
      </c>
      <c r="F39" s="70">
        <v>762</v>
      </c>
      <c r="G39" s="156">
        <v>0</v>
      </c>
      <c r="H39" s="21">
        <v>100</v>
      </c>
      <c r="I39" s="67">
        <v>90</v>
      </c>
      <c r="J39" s="147"/>
      <c r="K39" s="21">
        <v>200</v>
      </c>
      <c r="L39" s="67">
        <v>200</v>
      </c>
      <c r="M39" s="147"/>
      <c r="N39" s="21">
        <v>240</v>
      </c>
      <c r="O39" s="67">
        <v>240</v>
      </c>
      <c r="P39" s="22"/>
    </row>
    <row r="40" spans="2:16" ht="12.75" thickBot="1" x14ac:dyDescent="0.3">
      <c r="B40" s="187"/>
      <c r="C40" s="68" t="s">
        <v>50</v>
      </c>
      <c r="D40" s="191"/>
      <c r="E40" s="71">
        <v>250</v>
      </c>
      <c r="F40" s="71">
        <v>762</v>
      </c>
      <c r="G40" s="155">
        <v>0</v>
      </c>
      <c r="H40" s="23">
        <v>100</v>
      </c>
      <c r="I40" s="68">
        <v>90</v>
      </c>
      <c r="J40" s="45"/>
      <c r="K40" s="23">
        <v>250</v>
      </c>
      <c r="L40" s="68">
        <v>250</v>
      </c>
      <c r="M40" s="45"/>
      <c r="N40" s="23">
        <v>320</v>
      </c>
      <c r="O40" s="68">
        <v>320</v>
      </c>
      <c r="P40" s="24"/>
    </row>
    <row r="41" spans="2:16" ht="3" customHeight="1" thickBot="1" x14ac:dyDescent="0.3">
      <c r="B41" s="95"/>
      <c r="C41" s="65"/>
      <c r="D41" s="98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</row>
    <row r="42" spans="2:16" ht="17.25" customHeight="1" thickBot="1" x14ac:dyDescent="0.3">
      <c r="B42" s="247" t="s">
        <v>81</v>
      </c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9"/>
    </row>
    <row r="43" spans="2:16" ht="12" customHeight="1" x14ac:dyDescent="0.25">
      <c r="B43" s="185" t="s">
        <v>13</v>
      </c>
      <c r="C43" s="267" t="s">
        <v>14</v>
      </c>
      <c r="D43" s="215" t="s">
        <v>54</v>
      </c>
      <c r="E43" s="69">
        <v>100</v>
      </c>
      <c r="F43" s="69" t="s">
        <v>90</v>
      </c>
      <c r="G43" s="92">
        <v>7</v>
      </c>
      <c r="H43" s="41">
        <f>60*80/100</f>
        <v>48</v>
      </c>
      <c r="I43" s="66">
        <f>60*80/100</f>
        <v>48</v>
      </c>
      <c r="J43" s="160"/>
      <c r="K43" s="41">
        <f>70*80/100</f>
        <v>56</v>
      </c>
      <c r="L43" s="140">
        <f>70*80/100</f>
        <v>56</v>
      </c>
      <c r="M43" s="160"/>
      <c r="N43" s="41">
        <f>110*80/100</f>
        <v>88</v>
      </c>
      <c r="O43" s="66">
        <f>100*80/100</f>
        <v>80</v>
      </c>
      <c r="P43" s="43"/>
    </row>
    <row r="44" spans="2:16" ht="12" customHeight="1" x14ac:dyDescent="0.25">
      <c r="B44" s="186"/>
      <c r="C44" s="268"/>
      <c r="D44" s="216"/>
      <c r="E44" s="70">
        <v>150</v>
      </c>
      <c r="F44" s="70" t="s">
        <v>90</v>
      </c>
      <c r="G44" s="156">
        <v>7</v>
      </c>
      <c r="H44" s="21">
        <f>100*80/100</f>
        <v>80</v>
      </c>
      <c r="I44" s="67">
        <f>90*80/100</f>
        <v>72</v>
      </c>
      <c r="J44" s="147"/>
      <c r="K44" s="21">
        <f>140*80/100</f>
        <v>112</v>
      </c>
      <c r="L44" s="141">
        <f>140*80/100</f>
        <v>112</v>
      </c>
      <c r="M44" s="147"/>
      <c r="N44" s="21">
        <f>185*80/100</f>
        <v>148</v>
      </c>
      <c r="O44" s="141">
        <f>185*80/100</f>
        <v>148</v>
      </c>
      <c r="P44" s="22"/>
    </row>
    <row r="45" spans="2:16" ht="12" customHeight="1" x14ac:dyDescent="0.25">
      <c r="B45" s="186"/>
      <c r="C45" s="268"/>
      <c r="D45" s="216"/>
      <c r="E45" s="70">
        <v>200</v>
      </c>
      <c r="F45" s="130" t="s">
        <v>90</v>
      </c>
      <c r="G45" s="156">
        <v>7</v>
      </c>
      <c r="H45" s="21">
        <f t="shared" ref="H45:H46" si="3">100*80/100</f>
        <v>80</v>
      </c>
      <c r="I45" s="141">
        <f t="shared" ref="I45:I46" si="4">90*80/100</f>
        <v>72</v>
      </c>
      <c r="J45" s="147"/>
      <c r="K45" s="21">
        <f>200*80/100</f>
        <v>160</v>
      </c>
      <c r="L45" s="141">
        <f>200*80/100</f>
        <v>160</v>
      </c>
      <c r="M45" s="147"/>
      <c r="N45" s="21">
        <f>240*80/100</f>
        <v>192</v>
      </c>
      <c r="O45" s="141">
        <f>240*80/100</f>
        <v>192</v>
      </c>
      <c r="P45" s="22"/>
    </row>
    <row r="46" spans="2:16" ht="12" customHeight="1" thickBot="1" x14ac:dyDescent="0.3">
      <c r="B46" s="187"/>
      <c r="C46" s="269"/>
      <c r="D46" s="217"/>
      <c r="E46" s="71">
        <v>250</v>
      </c>
      <c r="F46" s="131" t="s">
        <v>90</v>
      </c>
      <c r="G46" s="155">
        <v>7</v>
      </c>
      <c r="H46" s="23">
        <f t="shared" si="3"/>
        <v>80</v>
      </c>
      <c r="I46" s="153">
        <f t="shared" si="4"/>
        <v>72</v>
      </c>
      <c r="J46" s="45"/>
      <c r="K46" s="23">
        <f>250*80/100</f>
        <v>200</v>
      </c>
      <c r="L46" s="142">
        <f>250*80/100</f>
        <v>200</v>
      </c>
      <c r="M46" s="45"/>
      <c r="N46" s="23">
        <f>320*80/100</f>
        <v>256</v>
      </c>
      <c r="O46" s="142">
        <f>320*80/100</f>
        <v>256</v>
      </c>
      <c r="P46" s="24"/>
    </row>
    <row r="47" spans="2:16" ht="3" customHeight="1" thickBot="1" x14ac:dyDescent="0.3">
      <c r="B47" s="95"/>
      <c r="C47" s="65"/>
      <c r="D47" s="98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</row>
    <row r="48" spans="2:16" ht="12" customHeight="1" x14ac:dyDescent="0.25">
      <c r="B48" s="185" t="s">
        <v>19</v>
      </c>
      <c r="C48" s="116" t="s">
        <v>14</v>
      </c>
      <c r="D48" s="215" t="s">
        <v>54</v>
      </c>
      <c r="E48" s="118">
        <v>100</v>
      </c>
      <c r="F48" s="118">
        <v>8078</v>
      </c>
      <c r="G48" s="92">
        <v>7</v>
      </c>
      <c r="H48" s="41">
        <f>60*80/100</f>
        <v>48</v>
      </c>
      <c r="I48" s="116">
        <f>60*80/100</f>
        <v>48</v>
      </c>
      <c r="J48" s="160">
        <f>50*85/100</f>
        <v>42.5</v>
      </c>
      <c r="K48" s="41">
        <f>70*80/100</f>
        <v>56</v>
      </c>
      <c r="L48" s="140">
        <f>70*80/100</f>
        <v>56</v>
      </c>
      <c r="M48" s="160">
        <f>60*85/100</f>
        <v>51</v>
      </c>
      <c r="N48" s="41">
        <f>110*80/100</f>
        <v>88</v>
      </c>
      <c r="O48" s="116">
        <f>100*80/100</f>
        <v>80</v>
      </c>
      <c r="P48" s="43">
        <f>85*85/100</f>
        <v>72.25</v>
      </c>
    </row>
    <row r="49" spans="2:16" ht="12.75" thickBot="1" x14ac:dyDescent="0.3">
      <c r="B49" s="186"/>
      <c r="C49" s="117" t="s">
        <v>89</v>
      </c>
      <c r="D49" s="199"/>
      <c r="E49" s="119">
        <v>150</v>
      </c>
      <c r="F49" s="119">
        <v>2922</v>
      </c>
      <c r="G49" s="156">
        <v>7</v>
      </c>
      <c r="H49" s="21">
        <f>100*80/100</f>
        <v>80</v>
      </c>
      <c r="I49" s="117">
        <f>90*80/100</f>
        <v>72</v>
      </c>
      <c r="J49" s="147">
        <f>80*85/100</f>
        <v>68</v>
      </c>
      <c r="K49" s="21">
        <f>140*80/100</f>
        <v>112</v>
      </c>
      <c r="L49" s="141">
        <f>140*80/100</f>
        <v>112</v>
      </c>
      <c r="M49" s="147">
        <f>110*85/100</f>
        <v>93.5</v>
      </c>
      <c r="N49" s="21">
        <f>185*80/100</f>
        <v>148</v>
      </c>
      <c r="O49" s="141">
        <f>185*80/100</f>
        <v>148</v>
      </c>
      <c r="P49" s="22">
        <f>150*85/100</f>
        <v>127.5</v>
      </c>
    </row>
    <row r="50" spans="2:16" x14ac:dyDescent="0.25">
      <c r="B50" s="186"/>
      <c r="C50" s="117" t="s">
        <v>11</v>
      </c>
      <c r="D50" s="139" t="s">
        <v>54</v>
      </c>
      <c r="E50" s="119">
        <v>200</v>
      </c>
      <c r="F50" s="119">
        <v>1348</v>
      </c>
      <c r="G50" s="156">
        <v>7</v>
      </c>
      <c r="H50" s="21">
        <f>100*80/100</f>
        <v>80</v>
      </c>
      <c r="I50" s="141">
        <f t="shared" ref="I50:I51" si="5">90*80/100</f>
        <v>72</v>
      </c>
      <c r="J50" s="147">
        <f t="shared" ref="J50:J51" si="6">80*85/100</f>
        <v>68</v>
      </c>
      <c r="K50" s="21">
        <f>200*80/100</f>
        <v>160</v>
      </c>
      <c r="L50" s="141">
        <f>200*80/100</f>
        <v>160</v>
      </c>
      <c r="M50" s="147">
        <f>160*85/100</f>
        <v>136</v>
      </c>
      <c r="N50" s="21">
        <f>240*80/100</f>
        <v>192</v>
      </c>
      <c r="O50" s="141">
        <f>240*80/100</f>
        <v>192</v>
      </c>
      <c r="P50" s="22">
        <f>190*85/100</f>
        <v>161.5</v>
      </c>
    </row>
    <row r="51" spans="2:16" ht="12.75" thickBot="1" x14ac:dyDescent="0.3">
      <c r="B51" s="187"/>
      <c r="C51" s="107"/>
      <c r="D51" s="108"/>
      <c r="E51" s="120">
        <v>250</v>
      </c>
      <c r="F51" s="120"/>
      <c r="G51" s="155"/>
      <c r="H51" s="23">
        <f>100*80/100</f>
        <v>80</v>
      </c>
      <c r="I51" s="153">
        <f t="shared" si="5"/>
        <v>72</v>
      </c>
      <c r="J51" s="24">
        <f t="shared" si="6"/>
        <v>68</v>
      </c>
      <c r="K51" s="23">
        <f>250*80/100</f>
        <v>200</v>
      </c>
      <c r="L51" s="142">
        <f>250*80/100</f>
        <v>200</v>
      </c>
      <c r="M51" s="45">
        <f>200*85/100</f>
        <v>170</v>
      </c>
      <c r="N51" s="23">
        <f>320*80/100</f>
        <v>256</v>
      </c>
      <c r="O51" s="142">
        <f>320*80/100</f>
        <v>256</v>
      </c>
      <c r="P51" s="24">
        <f>255*85/100</f>
        <v>216.75</v>
      </c>
    </row>
    <row r="52" spans="2:16" ht="3" customHeight="1" thickBot="1" x14ac:dyDescent="0.3">
      <c r="B52" s="95"/>
      <c r="C52" s="115"/>
      <c r="D52" s="98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</row>
    <row r="53" spans="2:16" ht="18.75" customHeight="1" thickBot="1" x14ac:dyDescent="0.3">
      <c r="B53" s="182" t="s">
        <v>66</v>
      </c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4"/>
    </row>
    <row r="54" spans="2:16" ht="12.75" hidden="1" thickBot="1" x14ac:dyDescent="0.3">
      <c r="B54" s="100"/>
      <c r="C54" s="235" t="s">
        <v>45</v>
      </c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7"/>
    </row>
    <row r="55" spans="2:16" ht="12.75" hidden="1" thickBot="1" x14ac:dyDescent="0.3">
      <c r="B55" s="100"/>
      <c r="C55" s="83" t="s">
        <v>13</v>
      </c>
      <c r="D55" s="83" t="s">
        <v>9</v>
      </c>
      <c r="E55" s="238"/>
      <c r="F55" s="239"/>
      <c r="G55" s="239"/>
      <c r="H55" s="239"/>
      <c r="I55" s="239"/>
      <c r="J55" s="239"/>
      <c r="K55" s="239"/>
      <c r="L55" s="239"/>
      <c r="M55" s="239"/>
      <c r="N55" s="239"/>
      <c r="O55" s="239"/>
      <c r="P55" s="240"/>
    </row>
    <row r="56" spans="2:16" ht="12.75" hidden="1" thickBot="1" x14ac:dyDescent="0.3">
      <c r="B56" s="100"/>
      <c r="C56" s="77" t="s">
        <v>11</v>
      </c>
      <c r="D56" s="77">
        <v>80225.357999999993</v>
      </c>
      <c r="E56" s="70">
        <v>100</v>
      </c>
      <c r="F56" s="70">
        <v>269</v>
      </c>
      <c r="G56" s="84">
        <v>10</v>
      </c>
      <c r="H56" s="79"/>
      <c r="I56" s="77"/>
      <c r="J56" s="80">
        <v>110</v>
      </c>
      <c r="K56" s="86"/>
      <c r="L56" s="77"/>
      <c r="M56" s="80">
        <v>130</v>
      </c>
      <c r="N56" s="86"/>
      <c r="O56" s="77"/>
      <c r="P56" s="80">
        <v>130</v>
      </c>
    </row>
    <row r="57" spans="2:16" ht="12.75" hidden="1" thickBot="1" x14ac:dyDescent="0.3">
      <c r="B57" s="100"/>
      <c r="C57" s="77"/>
      <c r="D57" s="77"/>
      <c r="E57" s="70">
        <v>150</v>
      </c>
      <c r="F57" s="70">
        <v>269</v>
      </c>
      <c r="G57" s="84">
        <v>10</v>
      </c>
      <c r="H57" s="79"/>
      <c r="I57" s="77"/>
      <c r="J57" s="80">
        <v>110</v>
      </c>
      <c r="K57" s="86"/>
      <c r="L57" s="77"/>
      <c r="M57" s="80">
        <v>285</v>
      </c>
      <c r="N57" s="86"/>
      <c r="O57" s="77"/>
      <c r="P57" s="80">
        <v>305</v>
      </c>
    </row>
    <row r="58" spans="2:16" ht="12.75" hidden="1" thickBot="1" x14ac:dyDescent="0.3">
      <c r="B58" s="100"/>
      <c r="C58" s="77"/>
      <c r="D58" s="77"/>
      <c r="E58" s="70">
        <v>200</v>
      </c>
      <c r="F58" s="70">
        <v>269</v>
      </c>
      <c r="G58" s="84">
        <v>10</v>
      </c>
      <c r="H58" s="79"/>
      <c r="I58" s="77"/>
      <c r="J58" s="85">
        <v>110</v>
      </c>
      <c r="K58" s="79"/>
      <c r="L58" s="77"/>
      <c r="M58" s="85">
        <v>285</v>
      </c>
      <c r="N58" s="79"/>
      <c r="O58" s="77"/>
      <c r="P58" s="80">
        <v>450</v>
      </c>
    </row>
    <row r="59" spans="2:16" ht="12.75" hidden="1" thickBot="1" x14ac:dyDescent="0.3">
      <c r="B59" s="100"/>
      <c r="C59" s="77"/>
      <c r="D59" s="77"/>
      <c r="E59" s="70">
        <v>250</v>
      </c>
      <c r="F59" s="70">
        <v>269</v>
      </c>
      <c r="G59" s="84">
        <v>10</v>
      </c>
      <c r="H59" s="79"/>
      <c r="I59" s="77"/>
      <c r="J59" s="85">
        <v>110</v>
      </c>
      <c r="K59" s="79"/>
      <c r="L59" s="77"/>
      <c r="M59" s="85">
        <v>285</v>
      </c>
      <c r="N59" s="79"/>
      <c r="O59" s="77"/>
      <c r="P59" s="80">
        <v>450</v>
      </c>
    </row>
    <row r="60" spans="2:16" ht="12.75" hidden="1" thickBot="1" x14ac:dyDescent="0.3">
      <c r="B60" s="100"/>
      <c r="C60" s="241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3"/>
    </row>
    <row r="61" spans="2:16" ht="12.75" hidden="1" thickBot="1" x14ac:dyDescent="0.3">
      <c r="B61" s="100"/>
      <c r="C61" s="83" t="s">
        <v>19</v>
      </c>
      <c r="D61" s="83" t="s">
        <v>20</v>
      </c>
      <c r="E61" s="238"/>
      <c r="F61" s="239"/>
      <c r="G61" s="239"/>
      <c r="H61" s="239"/>
      <c r="I61" s="239"/>
      <c r="J61" s="239"/>
      <c r="K61" s="239"/>
      <c r="L61" s="239"/>
      <c r="M61" s="239"/>
      <c r="N61" s="239"/>
      <c r="O61" s="239"/>
      <c r="P61" s="240"/>
    </row>
    <row r="62" spans="2:16" ht="12.75" hidden="1" thickBot="1" x14ac:dyDescent="0.3">
      <c r="B62" s="100"/>
      <c r="C62" s="77" t="s">
        <v>52</v>
      </c>
      <c r="D62" s="77">
        <v>341.66800000000001</v>
      </c>
      <c r="E62" s="70">
        <v>100</v>
      </c>
      <c r="F62" s="70">
        <v>765</v>
      </c>
      <c r="G62" s="84">
        <v>10</v>
      </c>
      <c r="H62" s="79">
        <v>60</v>
      </c>
      <c r="I62" s="77">
        <v>60</v>
      </c>
      <c r="J62" s="80"/>
      <c r="K62" s="86">
        <v>80</v>
      </c>
      <c r="L62" s="77">
        <v>80</v>
      </c>
      <c r="M62" s="80"/>
      <c r="N62" s="86">
        <v>85</v>
      </c>
      <c r="O62" s="77">
        <v>85</v>
      </c>
      <c r="P62" s="80"/>
    </row>
    <row r="63" spans="2:16" ht="12.75" hidden="1" thickBot="1" x14ac:dyDescent="0.3">
      <c r="B63" s="100"/>
      <c r="C63" s="77" t="s">
        <v>65</v>
      </c>
      <c r="D63" s="77">
        <v>399.15100000000001</v>
      </c>
      <c r="E63" s="70">
        <v>150</v>
      </c>
      <c r="F63" s="70">
        <v>765</v>
      </c>
      <c r="G63" s="84">
        <v>10</v>
      </c>
      <c r="H63" s="79">
        <v>70</v>
      </c>
      <c r="I63" s="77">
        <v>70</v>
      </c>
      <c r="J63" s="80"/>
      <c r="K63" s="86">
        <v>95</v>
      </c>
      <c r="L63" s="77">
        <v>95</v>
      </c>
      <c r="M63" s="80"/>
      <c r="N63" s="86">
        <v>110</v>
      </c>
      <c r="O63" s="77">
        <v>110</v>
      </c>
      <c r="P63" s="80"/>
    </row>
    <row r="64" spans="2:16" ht="12.75" hidden="1" thickBot="1" x14ac:dyDescent="0.3">
      <c r="B64" s="100"/>
      <c r="C64" s="77" t="s">
        <v>50</v>
      </c>
      <c r="D64" s="77">
        <v>1480.626</v>
      </c>
      <c r="E64" s="70">
        <v>200</v>
      </c>
      <c r="F64" s="70">
        <v>765</v>
      </c>
      <c r="G64" s="84">
        <v>10</v>
      </c>
      <c r="H64" s="79">
        <v>80</v>
      </c>
      <c r="I64" s="77">
        <v>80</v>
      </c>
      <c r="J64" s="80"/>
      <c r="K64" s="86">
        <v>120</v>
      </c>
      <c r="L64" s="77">
        <v>120</v>
      </c>
      <c r="M64" s="80"/>
      <c r="N64" s="86">
        <v>145</v>
      </c>
      <c r="O64" s="77">
        <v>145</v>
      </c>
      <c r="P64" s="80"/>
    </row>
    <row r="65" spans="2:16" ht="12.75" hidden="1" thickBot="1" x14ac:dyDescent="0.3">
      <c r="B65" s="100"/>
      <c r="C65" s="77" t="s">
        <v>15</v>
      </c>
      <c r="D65" s="77">
        <f>D62+D63+D64</f>
        <v>2221.4449999999997</v>
      </c>
      <c r="E65" s="70">
        <v>250</v>
      </c>
      <c r="F65" s="70">
        <v>765</v>
      </c>
      <c r="G65" s="84">
        <v>10</v>
      </c>
      <c r="H65" s="79">
        <v>95</v>
      </c>
      <c r="I65" s="77">
        <v>95</v>
      </c>
      <c r="J65" s="80"/>
      <c r="K65" s="86">
        <v>140</v>
      </c>
      <c r="L65" s="77">
        <v>140</v>
      </c>
      <c r="M65" s="80"/>
      <c r="N65" s="86">
        <v>180</v>
      </c>
      <c r="O65" s="77">
        <v>180</v>
      </c>
      <c r="P65" s="80"/>
    </row>
    <row r="66" spans="2:16" ht="12.75" hidden="1" thickBot="1" x14ac:dyDescent="0.3">
      <c r="B66" s="100"/>
      <c r="C66" s="241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3"/>
    </row>
    <row r="67" spans="2:16" ht="12.75" hidden="1" thickBot="1" x14ac:dyDescent="0.3">
      <c r="B67" s="100"/>
      <c r="C67" s="83" t="s">
        <v>46</v>
      </c>
      <c r="D67" s="83" t="s">
        <v>20</v>
      </c>
      <c r="E67" s="238"/>
      <c r="F67" s="239"/>
      <c r="G67" s="239"/>
      <c r="H67" s="239"/>
      <c r="I67" s="239"/>
      <c r="J67" s="239"/>
      <c r="K67" s="239"/>
      <c r="L67" s="239"/>
      <c r="M67" s="239"/>
      <c r="N67" s="239"/>
      <c r="O67" s="239"/>
      <c r="P67" s="240"/>
    </row>
    <row r="68" spans="2:16" ht="12.75" hidden="1" thickBot="1" x14ac:dyDescent="0.3">
      <c r="B68" s="100"/>
      <c r="C68" s="77" t="s">
        <v>47</v>
      </c>
      <c r="D68" s="77">
        <v>1400.7560000000001</v>
      </c>
      <c r="E68" s="70">
        <v>100</v>
      </c>
      <c r="F68" s="70">
        <v>980</v>
      </c>
      <c r="G68" s="84">
        <v>10</v>
      </c>
      <c r="H68" s="79">
        <f>60*85/100</f>
        <v>51</v>
      </c>
      <c r="I68" s="77">
        <f>60*85/100</f>
        <v>51</v>
      </c>
      <c r="J68" s="80"/>
      <c r="K68" s="86">
        <f>80*85/100</f>
        <v>68</v>
      </c>
      <c r="L68" s="77">
        <f>80*85/100</f>
        <v>68</v>
      </c>
      <c r="M68" s="80"/>
      <c r="N68" s="86">
        <f>85*85/100</f>
        <v>72.25</v>
      </c>
      <c r="O68" s="77">
        <f>85*85/100</f>
        <v>72.25</v>
      </c>
      <c r="P68" s="80"/>
    </row>
    <row r="69" spans="2:16" ht="12.75" hidden="1" thickBot="1" x14ac:dyDescent="0.3">
      <c r="B69" s="100"/>
      <c r="C69" s="77" t="s">
        <v>15</v>
      </c>
      <c r="D69" s="77">
        <f>D68</f>
        <v>1400.7560000000001</v>
      </c>
      <c r="E69" s="70">
        <v>150</v>
      </c>
      <c r="F69" s="70">
        <v>980</v>
      </c>
      <c r="G69" s="84">
        <v>10</v>
      </c>
      <c r="H69" s="79">
        <f>70*85/100</f>
        <v>59.5</v>
      </c>
      <c r="I69" s="77">
        <f>70*85/100</f>
        <v>59.5</v>
      </c>
      <c r="J69" s="80"/>
      <c r="K69" s="86">
        <f>95*85/100</f>
        <v>80.75</v>
      </c>
      <c r="L69" s="77">
        <f>95*85/100</f>
        <v>80.75</v>
      </c>
      <c r="M69" s="80"/>
      <c r="N69" s="86">
        <f>110*85/100</f>
        <v>93.5</v>
      </c>
      <c r="O69" s="77">
        <f>110*85/100</f>
        <v>93.5</v>
      </c>
      <c r="P69" s="80"/>
    </row>
    <row r="70" spans="2:16" ht="12.75" hidden="1" thickBot="1" x14ac:dyDescent="0.3">
      <c r="B70" s="100"/>
      <c r="C70" s="77"/>
      <c r="D70" s="77"/>
      <c r="E70" s="70">
        <v>200</v>
      </c>
      <c r="F70" s="70">
        <v>980</v>
      </c>
      <c r="G70" s="84">
        <v>10</v>
      </c>
      <c r="H70" s="79">
        <f>80*85/100</f>
        <v>68</v>
      </c>
      <c r="I70" s="77">
        <f>80*85/100</f>
        <v>68</v>
      </c>
      <c r="J70" s="85"/>
      <c r="K70" s="79">
        <f>120*85/100</f>
        <v>102</v>
      </c>
      <c r="L70" s="77">
        <f>120*85/100</f>
        <v>102</v>
      </c>
      <c r="M70" s="85"/>
      <c r="N70" s="79">
        <f>145*85/100</f>
        <v>123.25</v>
      </c>
      <c r="O70" s="77">
        <f>145*85/100</f>
        <v>123.25</v>
      </c>
      <c r="P70" s="80"/>
    </row>
    <row r="71" spans="2:16" ht="12.75" hidden="1" thickBot="1" x14ac:dyDescent="0.3">
      <c r="B71" s="100"/>
      <c r="C71" s="77"/>
      <c r="D71" s="77"/>
      <c r="E71" s="70">
        <v>250</v>
      </c>
      <c r="F71" s="70">
        <v>980</v>
      </c>
      <c r="G71" s="84">
        <v>10</v>
      </c>
      <c r="H71" s="79">
        <f>95*85/100</f>
        <v>80.75</v>
      </c>
      <c r="I71" s="77">
        <f>95*85/100</f>
        <v>80.75</v>
      </c>
      <c r="J71" s="85"/>
      <c r="K71" s="79">
        <f>140*85/100</f>
        <v>119</v>
      </c>
      <c r="L71" s="77">
        <f>140*85/100</f>
        <v>119</v>
      </c>
      <c r="M71" s="85"/>
      <c r="N71" s="79">
        <f>180*85/100</f>
        <v>153</v>
      </c>
      <c r="O71" s="77">
        <f>180*85/100</f>
        <v>153</v>
      </c>
      <c r="P71" s="80"/>
    </row>
    <row r="72" spans="2:16" ht="12.75" hidden="1" thickBot="1" x14ac:dyDescent="0.3">
      <c r="B72" s="100"/>
      <c r="C72" s="241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3"/>
    </row>
    <row r="73" spans="2:16" ht="12.75" hidden="1" thickBot="1" x14ac:dyDescent="0.3">
      <c r="B73" s="100"/>
      <c r="C73" s="244" t="s">
        <v>53</v>
      </c>
      <c r="D73" s="245"/>
      <c r="E73" s="245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6"/>
    </row>
    <row r="74" spans="2:16" ht="12.75" hidden="1" thickBot="1" x14ac:dyDescent="0.3">
      <c r="B74" s="100"/>
      <c r="C74" s="77"/>
      <c r="D74" s="83" t="s">
        <v>20</v>
      </c>
      <c r="E74" s="241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3"/>
    </row>
    <row r="75" spans="2:16" ht="12.75" hidden="1" thickBot="1" x14ac:dyDescent="0.3">
      <c r="B75" s="100"/>
      <c r="C75" s="77" t="s">
        <v>65</v>
      </c>
      <c r="D75" s="77">
        <v>249.66499999999999</v>
      </c>
      <c r="E75" s="77">
        <v>100</v>
      </c>
      <c r="F75" s="77">
        <v>468</v>
      </c>
      <c r="G75" s="85">
        <v>7</v>
      </c>
      <c r="H75" s="79">
        <v>60</v>
      </c>
      <c r="I75" s="77">
        <v>60</v>
      </c>
      <c r="J75" s="80">
        <v>110</v>
      </c>
      <c r="K75" s="86">
        <v>80</v>
      </c>
      <c r="L75" s="77">
        <v>80</v>
      </c>
      <c r="M75" s="80">
        <v>120</v>
      </c>
      <c r="N75" s="86">
        <v>85</v>
      </c>
      <c r="O75" s="77">
        <v>85</v>
      </c>
      <c r="P75" s="80">
        <v>130</v>
      </c>
    </row>
    <row r="76" spans="2:16" ht="12.75" hidden="1" thickBot="1" x14ac:dyDescent="0.3">
      <c r="B76" s="100"/>
      <c r="C76" s="77" t="s">
        <v>48</v>
      </c>
      <c r="D76" s="77">
        <v>1721.7729999999999</v>
      </c>
      <c r="E76" s="77">
        <v>150</v>
      </c>
      <c r="F76" s="77">
        <v>468</v>
      </c>
      <c r="G76" s="85">
        <v>7</v>
      </c>
      <c r="H76" s="79">
        <v>70</v>
      </c>
      <c r="I76" s="77">
        <v>70</v>
      </c>
      <c r="J76" s="80">
        <v>110</v>
      </c>
      <c r="K76" s="86">
        <v>95</v>
      </c>
      <c r="L76" s="77">
        <v>95</v>
      </c>
      <c r="M76" s="80">
        <v>200</v>
      </c>
      <c r="N76" s="86">
        <v>110</v>
      </c>
      <c r="O76" s="77">
        <v>110</v>
      </c>
      <c r="P76" s="80">
        <v>270</v>
      </c>
    </row>
    <row r="77" spans="2:16" ht="12.75" hidden="1" thickBot="1" x14ac:dyDescent="0.3">
      <c r="B77" s="100"/>
      <c r="C77" s="77" t="s">
        <v>50</v>
      </c>
      <c r="D77" s="77">
        <v>499.43400000000003</v>
      </c>
      <c r="E77" s="77">
        <v>200</v>
      </c>
      <c r="F77" s="77">
        <v>468</v>
      </c>
      <c r="G77" s="85">
        <v>7</v>
      </c>
      <c r="H77" s="79">
        <v>80</v>
      </c>
      <c r="I77" s="77">
        <v>80</v>
      </c>
      <c r="J77" s="80">
        <v>110</v>
      </c>
      <c r="K77" s="86">
        <v>120</v>
      </c>
      <c r="L77" s="77">
        <v>120</v>
      </c>
      <c r="M77" s="80">
        <v>285</v>
      </c>
      <c r="N77" s="86">
        <v>145</v>
      </c>
      <c r="O77" s="77">
        <v>145</v>
      </c>
      <c r="P77" s="80">
        <v>365</v>
      </c>
    </row>
    <row r="78" spans="2:16" ht="12.75" hidden="1" thickBot="1" x14ac:dyDescent="0.3">
      <c r="B78" s="100"/>
      <c r="C78" s="77" t="s">
        <v>15</v>
      </c>
      <c r="D78" s="77">
        <f>D75+D76+D77</f>
        <v>2470.8719999999998</v>
      </c>
      <c r="E78" s="70">
        <v>250</v>
      </c>
      <c r="F78" s="77">
        <v>468</v>
      </c>
      <c r="G78" s="85">
        <v>7</v>
      </c>
      <c r="H78" s="79">
        <v>95</v>
      </c>
      <c r="I78" s="77">
        <v>95</v>
      </c>
      <c r="J78" s="80">
        <v>110</v>
      </c>
      <c r="K78" s="86">
        <v>140</v>
      </c>
      <c r="L78" s="77">
        <v>140</v>
      </c>
      <c r="M78" s="80">
        <v>285</v>
      </c>
      <c r="N78" s="86">
        <v>180</v>
      </c>
      <c r="O78" s="77">
        <v>180</v>
      </c>
      <c r="P78" s="80">
        <v>420</v>
      </c>
    </row>
    <row r="79" spans="2:16" ht="24.75" hidden="1" thickBot="1" x14ac:dyDescent="0.3">
      <c r="B79" s="100"/>
      <c r="C79" s="77"/>
      <c r="D79" s="83" t="s">
        <v>16</v>
      </c>
      <c r="E79" s="70"/>
      <c r="F79" s="70"/>
      <c r="G79" s="84"/>
      <c r="H79" s="79"/>
      <c r="I79" s="77"/>
      <c r="J79" s="80"/>
      <c r="K79" s="86"/>
      <c r="L79" s="77"/>
      <c r="M79" s="80"/>
      <c r="N79" s="86"/>
      <c r="O79" s="77"/>
      <c r="P79" s="80"/>
    </row>
    <row r="80" spans="2:16" ht="12.75" hidden="1" thickBot="1" x14ac:dyDescent="0.3">
      <c r="B80" s="100"/>
      <c r="C80" s="77" t="s">
        <v>11</v>
      </c>
      <c r="D80" s="77">
        <v>20334.509999999998</v>
      </c>
      <c r="E80" s="70"/>
      <c r="F80" s="70"/>
      <c r="G80" s="84"/>
      <c r="H80" s="79"/>
      <c r="I80" s="77"/>
      <c r="J80" s="80"/>
      <c r="K80" s="86"/>
      <c r="L80" s="77"/>
      <c r="M80" s="80"/>
      <c r="N80" s="86"/>
      <c r="O80" s="77"/>
      <c r="P80" s="80"/>
    </row>
    <row r="81" spans="2:16" ht="12.75" hidden="1" thickBot="1" x14ac:dyDescent="0.3">
      <c r="B81" s="100"/>
      <c r="C81" s="244" t="s">
        <v>56</v>
      </c>
      <c r="D81" s="245"/>
      <c r="E81" s="245"/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6"/>
    </row>
    <row r="82" spans="2:16" ht="12.75" hidden="1" thickBot="1" x14ac:dyDescent="0.3">
      <c r="B82" s="100"/>
      <c r="C82" s="83" t="s">
        <v>13</v>
      </c>
      <c r="D82" s="83" t="s">
        <v>54</v>
      </c>
      <c r="E82" s="241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3"/>
    </row>
    <row r="83" spans="2:16" ht="24.75" hidden="1" thickBot="1" x14ac:dyDescent="0.3">
      <c r="B83" s="100"/>
      <c r="C83" s="77" t="s">
        <v>52</v>
      </c>
      <c r="D83" s="77">
        <v>3409.9290000000001</v>
      </c>
      <c r="E83" s="77">
        <v>100</v>
      </c>
      <c r="F83" s="77">
        <v>1380</v>
      </c>
      <c r="G83" s="85" t="s">
        <v>57</v>
      </c>
      <c r="H83" s="79">
        <f>80*85/100</f>
        <v>68</v>
      </c>
      <c r="I83" s="79">
        <f>80*85/100</f>
        <v>68</v>
      </c>
      <c r="J83" s="80"/>
      <c r="K83" s="86">
        <f>95*85/100</f>
        <v>80.75</v>
      </c>
      <c r="L83" s="77">
        <f>95*85/100</f>
        <v>80.75</v>
      </c>
      <c r="M83" s="80"/>
      <c r="N83" s="86">
        <f>130*85/100</f>
        <v>110.5</v>
      </c>
      <c r="O83" s="77">
        <f>120*85/100</f>
        <v>102</v>
      </c>
      <c r="P83" s="80"/>
    </row>
    <row r="84" spans="2:16" ht="24.75" hidden="1" thickBot="1" x14ac:dyDescent="0.3">
      <c r="B84" s="100"/>
      <c r="C84" s="77" t="s">
        <v>51</v>
      </c>
      <c r="D84" s="77">
        <v>1706.5540000000001</v>
      </c>
      <c r="E84" s="77">
        <v>150</v>
      </c>
      <c r="F84" s="77">
        <v>1380</v>
      </c>
      <c r="G84" s="85" t="s">
        <v>57</v>
      </c>
      <c r="H84" s="79">
        <f>135*85/100</f>
        <v>114.75</v>
      </c>
      <c r="I84" s="77">
        <f>120*85/100</f>
        <v>102</v>
      </c>
      <c r="J84" s="80"/>
      <c r="K84" s="86">
        <f>190*85/100</f>
        <v>161.5</v>
      </c>
      <c r="L84" s="77">
        <f>190*85/100</f>
        <v>161.5</v>
      </c>
      <c r="M84" s="80"/>
      <c r="N84" s="86">
        <f>220*85/100</f>
        <v>187</v>
      </c>
      <c r="O84" s="77">
        <f>220*85/100</f>
        <v>187</v>
      </c>
      <c r="P84" s="80"/>
    </row>
    <row r="85" spans="2:16" ht="24.75" hidden="1" thickBot="1" x14ac:dyDescent="0.3">
      <c r="B85" s="100"/>
      <c r="C85" s="77" t="s">
        <v>47</v>
      </c>
      <c r="D85" s="77">
        <v>737.19299999999998</v>
      </c>
      <c r="E85" s="77">
        <v>200</v>
      </c>
      <c r="F85" s="77">
        <v>1380</v>
      </c>
      <c r="G85" s="85" t="s">
        <v>57</v>
      </c>
      <c r="H85" s="79">
        <f>135*85/100</f>
        <v>114.75</v>
      </c>
      <c r="I85" s="77">
        <f t="shared" ref="I85:I86" si="7">120*85/100</f>
        <v>102</v>
      </c>
      <c r="J85" s="80"/>
      <c r="K85" s="86">
        <f>270*85/100</f>
        <v>229.5</v>
      </c>
      <c r="L85" s="86">
        <f>270*85/100</f>
        <v>229.5</v>
      </c>
      <c r="M85" s="80"/>
      <c r="N85" s="86">
        <f>290*85/100</f>
        <v>246.5</v>
      </c>
      <c r="O85" s="86">
        <f>290*85/100</f>
        <v>246.5</v>
      </c>
      <c r="P85" s="80"/>
    </row>
    <row r="86" spans="2:16" ht="24.75" hidden="1" thickBot="1" x14ac:dyDescent="0.3">
      <c r="B86" s="100"/>
      <c r="C86" s="77" t="s">
        <v>15</v>
      </c>
      <c r="D86" s="77">
        <f>D83+D84+D85</f>
        <v>5853.6760000000004</v>
      </c>
      <c r="E86" s="77">
        <v>250</v>
      </c>
      <c r="F86" s="77">
        <v>1380</v>
      </c>
      <c r="G86" s="85" t="s">
        <v>57</v>
      </c>
      <c r="H86" s="79">
        <f>135*85/100</f>
        <v>114.75</v>
      </c>
      <c r="I86" s="77">
        <f t="shared" si="7"/>
        <v>102</v>
      </c>
      <c r="J86" s="80"/>
      <c r="K86" s="86">
        <f>340*85/100</f>
        <v>289</v>
      </c>
      <c r="L86" s="77">
        <f>290*85/100</f>
        <v>246.5</v>
      </c>
      <c r="M86" s="80"/>
      <c r="N86" s="86">
        <f>380*85/100</f>
        <v>323</v>
      </c>
      <c r="O86" s="86">
        <f>380*85/100</f>
        <v>323</v>
      </c>
      <c r="P86" s="80"/>
    </row>
    <row r="87" spans="2:16" ht="12.75" hidden="1" thickBot="1" x14ac:dyDescent="0.3">
      <c r="B87" s="100"/>
      <c r="C87" s="241"/>
      <c r="D87" s="242"/>
      <c r="E87" s="242"/>
      <c r="F87" s="242"/>
      <c r="G87" s="242"/>
      <c r="H87" s="242"/>
      <c r="I87" s="242"/>
      <c r="J87" s="242"/>
      <c r="K87" s="242"/>
      <c r="L87" s="242"/>
      <c r="M87" s="242"/>
      <c r="N87" s="242"/>
      <c r="O87" s="242"/>
      <c r="P87" s="243"/>
    </row>
    <row r="88" spans="2:16" ht="12.75" hidden="1" thickBot="1" x14ac:dyDescent="0.3">
      <c r="B88" s="100"/>
      <c r="C88" s="83" t="s">
        <v>19</v>
      </c>
      <c r="D88" s="83" t="s">
        <v>20</v>
      </c>
      <c r="E88" s="241"/>
      <c r="F88" s="242"/>
      <c r="G88" s="242"/>
      <c r="H88" s="242"/>
      <c r="I88" s="242"/>
      <c r="J88" s="242"/>
      <c r="K88" s="242"/>
      <c r="L88" s="242"/>
      <c r="M88" s="242"/>
      <c r="N88" s="242"/>
      <c r="O88" s="242"/>
      <c r="P88" s="243"/>
    </row>
    <row r="89" spans="2:16" ht="24.75" hidden="1" thickBot="1" x14ac:dyDescent="0.3">
      <c r="B89" s="100"/>
      <c r="C89" s="77" t="s">
        <v>49</v>
      </c>
      <c r="D89" s="77">
        <v>708.38099999999997</v>
      </c>
      <c r="E89" s="77">
        <v>100</v>
      </c>
      <c r="F89" s="77">
        <v>452</v>
      </c>
      <c r="G89" s="85" t="s">
        <v>57</v>
      </c>
      <c r="H89" s="79">
        <v>60</v>
      </c>
      <c r="I89" s="77">
        <v>60</v>
      </c>
      <c r="J89" s="80"/>
      <c r="K89" s="86">
        <v>80</v>
      </c>
      <c r="L89" s="77">
        <v>80</v>
      </c>
      <c r="M89" s="80"/>
      <c r="N89" s="86">
        <v>85</v>
      </c>
      <c r="O89" s="77">
        <v>85</v>
      </c>
      <c r="P89" s="80"/>
    </row>
    <row r="90" spans="2:16" ht="24.75" hidden="1" thickBot="1" x14ac:dyDescent="0.3">
      <c r="B90" s="100"/>
      <c r="C90" s="77" t="s">
        <v>50</v>
      </c>
      <c r="D90" s="77">
        <v>2406.7829999999999</v>
      </c>
      <c r="E90" s="77">
        <v>150</v>
      </c>
      <c r="F90" s="77">
        <v>452</v>
      </c>
      <c r="G90" s="85" t="s">
        <v>57</v>
      </c>
      <c r="H90" s="79">
        <v>70</v>
      </c>
      <c r="I90" s="77">
        <v>70</v>
      </c>
      <c r="J90" s="80"/>
      <c r="K90" s="86">
        <v>95</v>
      </c>
      <c r="L90" s="77">
        <v>95</v>
      </c>
      <c r="M90" s="80"/>
      <c r="N90" s="86">
        <v>110</v>
      </c>
      <c r="O90" s="77">
        <v>110</v>
      </c>
      <c r="P90" s="80"/>
    </row>
    <row r="91" spans="2:16" ht="24.75" hidden="1" thickBot="1" x14ac:dyDescent="0.3">
      <c r="B91" s="100"/>
      <c r="C91" s="77" t="s">
        <v>15</v>
      </c>
      <c r="D91" s="77">
        <f>D89+D90</f>
        <v>3115.1639999999998</v>
      </c>
      <c r="E91" s="77">
        <v>200</v>
      </c>
      <c r="F91" s="77">
        <v>452</v>
      </c>
      <c r="G91" s="85" t="s">
        <v>57</v>
      </c>
      <c r="H91" s="79">
        <v>80</v>
      </c>
      <c r="I91" s="77">
        <v>80</v>
      </c>
      <c r="J91" s="80"/>
      <c r="K91" s="86">
        <v>120</v>
      </c>
      <c r="L91" s="77">
        <v>120</v>
      </c>
      <c r="M91" s="80"/>
      <c r="N91" s="86">
        <v>145</v>
      </c>
      <c r="O91" s="77">
        <v>145</v>
      </c>
      <c r="P91" s="80"/>
    </row>
    <row r="92" spans="2:16" ht="24.75" hidden="1" thickBot="1" x14ac:dyDescent="0.3">
      <c r="B92" s="100"/>
      <c r="C92" s="88"/>
      <c r="D92" s="88"/>
      <c r="E92" s="88">
        <v>250</v>
      </c>
      <c r="F92" s="88">
        <v>452</v>
      </c>
      <c r="G92" s="101" t="s">
        <v>57</v>
      </c>
      <c r="H92" s="102">
        <v>95</v>
      </c>
      <c r="I92" s="88">
        <v>95</v>
      </c>
      <c r="J92" s="103"/>
      <c r="K92" s="104">
        <v>140</v>
      </c>
      <c r="L92" s="88">
        <v>140</v>
      </c>
      <c r="M92" s="103"/>
      <c r="N92" s="104">
        <v>180</v>
      </c>
      <c r="O92" s="88">
        <v>180</v>
      </c>
      <c r="P92" s="103"/>
    </row>
    <row r="93" spans="2:16" ht="15.75" customHeight="1" thickBot="1" x14ac:dyDescent="0.3">
      <c r="B93" s="247" t="s">
        <v>61</v>
      </c>
      <c r="C93" s="248"/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9"/>
    </row>
    <row r="94" spans="2:16" ht="12" customHeight="1" x14ac:dyDescent="0.25">
      <c r="B94" s="185" t="s">
        <v>13</v>
      </c>
      <c r="C94" s="140" t="s">
        <v>52</v>
      </c>
      <c r="D94" s="215" t="s">
        <v>20</v>
      </c>
      <c r="E94" s="129">
        <v>100</v>
      </c>
      <c r="F94" s="129">
        <v>1441</v>
      </c>
      <c r="G94" s="92">
        <v>46</v>
      </c>
      <c r="H94" s="93">
        <f>60*85/100</f>
        <v>51</v>
      </c>
      <c r="I94" s="129">
        <f>60*85/100</f>
        <v>51</v>
      </c>
      <c r="J94" s="92">
        <f>45*85/100</f>
        <v>38.25</v>
      </c>
      <c r="K94" s="93">
        <f>80*85/100</f>
        <v>68</v>
      </c>
      <c r="L94" s="129">
        <f>80*85/100</f>
        <v>68</v>
      </c>
      <c r="M94" s="92">
        <f>70*85/100</f>
        <v>59.5</v>
      </c>
      <c r="N94" s="93">
        <f>85*85/100</f>
        <v>72.25</v>
      </c>
      <c r="O94" s="129">
        <f>85*85/100</f>
        <v>72.25</v>
      </c>
      <c r="P94" s="94">
        <f>70*85/100</f>
        <v>59.5</v>
      </c>
    </row>
    <row r="95" spans="2:16" ht="12" customHeight="1" x14ac:dyDescent="0.25">
      <c r="B95" s="186"/>
      <c r="C95" s="130" t="s">
        <v>14</v>
      </c>
      <c r="D95" s="216"/>
      <c r="E95" s="130">
        <v>150</v>
      </c>
      <c r="F95" s="130">
        <v>1441</v>
      </c>
      <c r="G95" s="156">
        <v>46</v>
      </c>
      <c r="H95" s="20">
        <f>70*85/100</f>
        <v>59.5</v>
      </c>
      <c r="I95" s="130">
        <f>70*85/100</f>
        <v>59.5</v>
      </c>
      <c r="J95" s="156">
        <f>55*85/100</f>
        <v>46.75</v>
      </c>
      <c r="K95" s="20">
        <f>95*85/100</f>
        <v>80.75</v>
      </c>
      <c r="L95" s="130">
        <f>95*85/100</f>
        <v>80.75</v>
      </c>
      <c r="M95" s="156">
        <f>80*85/100</f>
        <v>68</v>
      </c>
      <c r="N95" s="20">
        <f>110*85/100</f>
        <v>93.5</v>
      </c>
      <c r="O95" s="130">
        <f>110*85/100</f>
        <v>93.5</v>
      </c>
      <c r="P95" s="87">
        <f>85*85/100</f>
        <v>72.25</v>
      </c>
    </row>
    <row r="96" spans="2:16" ht="12" customHeight="1" x14ac:dyDescent="0.25">
      <c r="B96" s="186"/>
      <c r="C96" s="130" t="s">
        <v>50</v>
      </c>
      <c r="D96" s="216"/>
      <c r="E96" s="130">
        <v>200</v>
      </c>
      <c r="F96" s="130">
        <v>1441</v>
      </c>
      <c r="G96" s="156">
        <v>46</v>
      </c>
      <c r="H96" s="20">
        <f>80*85/100</f>
        <v>68</v>
      </c>
      <c r="I96" s="130">
        <f>80*85/100</f>
        <v>68</v>
      </c>
      <c r="J96" s="156">
        <f>70*85/100</f>
        <v>59.5</v>
      </c>
      <c r="K96" s="20">
        <f>120*85/100</f>
        <v>102</v>
      </c>
      <c r="L96" s="130">
        <f>120*85/100</f>
        <v>102</v>
      </c>
      <c r="M96" s="156">
        <f>95*85/100</f>
        <v>80.75</v>
      </c>
      <c r="N96" s="20">
        <f>145*85/100</f>
        <v>123.25</v>
      </c>
      <c r="O96" s="130">
        <f>145*85/100</f>
        <v>123.25</v>
      </c>
      <c r="P96" s="87">
        <f>115*85/100</f>
        <v>97.75</v>
      </c>
    </row>
    <row r="97" spans="2:16" ht="12" customHeight="1" thickBot="1" x14ac:dyDescent="0.3">
      <c r="B97" s="187"/>
      <c r="C97" s="131" t="s">
        <v>11</v>
      </c>
      <c r="D97" s="217"/>
      <c r="E97" s="131">
        <v>250</v>
      </c>
      <c r="F97" s="148">
        <v>1441</v>
      </c>
      <c r="G97" s="82">
        <v>46</v>
      </c>
      <c r="H97" s="81">
        <f>95*85/100</f>
        <v>80.75</v>
      </c>
      <c r="I97" s="131">
        <f>95*85/100</f>
        <v>80.75</v>
      </c>
      <c r="J97" s="155">
        <f>80*85/100</f>
        <v>68</v>
      </c>
      <c r="K97" s="81">
        <f>140*85/100</f>
        <v>119</v>
      </c>
      <c r="L97" s="131">
        <f>140*85/100</f>
        <v>119</v>
      </c>
      <c r="M97" s="155">
        <f>115*85/100</f>
        <v>97.75</v>
      </c>
      <c r="N97" s="81">
        <f>180*85/100</f>
        <v>153</v>
      </c>
      <c r="O97" s="131">
        <f>180*85/100</f>
        <v>153</v>
      </c>
      <c r="P97" s="82">
        <f>145*85/100</f>
        <v>123.25</v>
      </c>
    </row>
    <row r="98" spans="2:16" ht="3" customHeight="1" thickBot="1" x14ac:dyDescent="0.3">
      <c r="B98" s="95"/>
      <c r="C98" s="65"/>
      <c r="D98" s="98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</row>
    <row r="99" spans="2:16" ht="19.5" customHeight="1" thickBot="1" x14ac:dyDescent="0.3">
      <c r="B99" s="247" t="s">
        <v>60</v>
      </c>
      <c r="C99" s="248"/>
      <c r="D99" s="248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9"/>
    </row>
    <row r="100" spans="2:16" ht="12" customHeight="1" x14ac:dyDescent="0.25">
      <c r="B100" s="185" t="s">
        <v>13</v>
      </c>
      <c r="C100" s="140" t="s">
        <v>52</v>
      </c>
      <c r="D100" s="215" t="s">
        <v>20</v>
      </c>
      <c r="E100" s="129">
        <v>100</v>
      </c>
      <c r="F100" s="129">
        <v>1019</v>
      </c>
      <c r="G100" s="92">
        <v>16</v>
      </c>
      <c r="H100" s="93">
        <f>60*85/100</f>
        <v>51</v>
      </c>
      <c r="I100" s="129">
        <f>60*85/100</f>
        <v>51</v>
      </c>
      <c r="J100" s="92">
        <f>45*85/100</f>
        <v>38.25</v>
      </c>
      <c r="K100" s="93">
        <f>80*85/100</f>
        <v>68</v>
      </c>
      <c r="L100" s="129">
        <f>80*85/100</f>
        <v>68</v>
      </c>
      <c r="M100" s="92">
        <f>70*85/100</f>
        <v>59.5</v>
      </c>
      <c r="N100" s="93">
        <f>85*85/100</f>
        <v>72.25</v>
      </c>
      <c r="O100" s="129">
        <f>85*85/100</f>
        <v>72.25</v>
      </c>
      <c r="P100" s="94">
        <f>70*85/100</f>
        <v>59.5</v>
      </c>
    </row>
    <row r="101" spans="2:16" ht="12" customHeight="1" x14ac:dyDescent="0.25">
      <c r="B101" s="186"/>
      <c r="C101" s="130" t="s">
        <v>14</v>
      </c>
      <c r="D101" s="216"/>
      <c r="E101" s="130">
        <v>150</v>
      </c>
      <c r="F101" s="130">
        <v>1019</v>
      </c>
      <c r="G101" s="156">
        <v>16</v>
      </c>
      <c r="H101" s="20">
        <f>70*85/100</f>
        <v>59.5</v>
      </c>
      <c r="I101" s="130">
        <f>70*85/100</f>
        <v>59.5</v>
      </c>
      <c r="J101" s="156">
        <f>55*85/100</f>
        <v>46.75</v>
      </c>
      <c r="K101" s="20">
        <f>95*85/100</f>
        <v>80.75</v>
      </c>
      <c r="L101" s="130">
        <f>95*85/100</f>
        <v>80.75</v>
      </c>
      <c r="M101" s="156">
        <f>80*85/100</f>
        <v>68</v>
      </c>
      <c r="N101" s="20">
        <f>110*85/100</f>
        <v>93.5</v>
      </c>
      <c r="O101" s="130">
        <f>110*85/100</f>
        <v>93.5</v>
      </c>
      <c r="P101" s="87">
        <f>85*85/100</f>
        <v>72.25</v>
      </c>
    </row>
    <row r="102" spans="2:16" ht="12" customHeight="1" x14ac:dyDescent="0.25">
      <c r="B102" s="186"/>
      <c r="C102" s="130" t="s">
        <v>50</v>
      </c>
      <c r="D102" s="216"/>
      <c r="E102" s="130">
        <v>200</v>
      </c>
      <c r="F102" s="130">
        <v>1019</v>
      </c>
      <c r="G102" s="156">
        <v>16</v>
      </c>
      <c r="H102" s="20">
        <f>80*85/100</f>
        <v>68</v>
      </c>
      <c r="I102" s="130">
        <f>80*85/100</f>
        <v>68</v>
      </c>
      <c r="J102" s="156">
        <f>70*85/100</f>
        <v>59.5</v>
      </c>
      <c r="K102" s="20">
        <f>120*85/100</f>
        <v>102</v>
      </c>
      <c r="L102" s="130">
        <f>120*85/100</f>
        <v>102</v>
      </c>
      <c r="M102" s="156">
        <f>95*85/100</f>
        <v>80.75</v>
      </c>
      <c r="N102" s="20">
        <f>145*85/100</f>
        <v>123.25</v>
      </c>
      <c r="O102" s="130">
        <f>145*85/100</f>
        <v>123.25</v>
      </c>
      <c r="P102" s="87">
        <f>115*85/100</f>
        <v>97.75</v>
      </c>
    </row>
    <row r="103" spans="2:16" ht="12" customHeight="1" thickBot="1" x14ac:dyDescent="0.3">
      <c r="B103" s="186"/>
      <c r="C103" s="131" t="s">
        <v>11</v>
      </c>
      <c r="D103" s="217"/>
      <c r="E103" s="131">
        <v>250</v>
      </c>
      <c r="F103" s="131">
        <v>1019</v>
      </c>
      <c r="G103" s="155">
        <v>16</v>
      </c>
      <c r="H103" s="81">
        <f>95*85/100</f>
        <v>80.75</v>
      </c>
      <c r="I103" s="131">
        <f>95*85/100</f>
        <v>80.75</v>
      </c>
      <c r="J103" s="155">
        <f>80*85/100</f>
        <v>68</v>
      </c>
      <c r="K103" s="81">
        <f>140*85/100</f>
        <v>119</v>
      </c>
      <c r="L103" s="131">
        <f>140*85/100</f>
        <v>119</v>
      </c>
      <c r="M103" s="155">
        <f>115*85/100</f>
        <v>97.75</v>
      </c>
      <c r="N103" s="81">
        <f>180*85/100</f>
        <v>153</v>
      </c>
      <c r="O103" s="131">
        <f>180*85/100</f>
        <v>153</v>
      </c>
      <c r="P103" s="82">
        <f>145*85/100</f>
        <v>123.25</v>
      </c>
    </row>
    <row r="104" spans="2:16" ht="3" customHeight="1" x14ac:dyDescent="0.25">
      <c r="B104" s="95"/>
      <c r="C104" s="132"/>
      <c r="D104" s="98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</row>
    <row r="105" spans="2:16" ht="15.75" customHeight="1" thickBot="1" x14ac:dyDescent="0.3">
      <c r="B105" s="253" t="s">
        <v>59</v>
      </c>
      <c r="C105" s="254"/>
      <c r="D105" s="254"/>
      <c r="E105" s="254"/>
      <c r="F105" s="254"/>
      <c r="G105" s="254"/>
      <c r="H105" s="254"/>
      <c r="I105" s="254"/>
      <c r="J105" s="254"/>
      <c r="K105" s="254"/>
      <c r="L105" s="254"/>
      <c r="M105" s="254"/>
      <c r="N105" s="254"/>
      <c r="O105" s="254"/>
      <c r="P105" s="255"/>
    </row>
    <row r="106" spans="2:16" ht="12" customHeight="1" x14ac:dyDescent="0.25">
      <c r="B106" s="185" t="s">
        <v>13</v>
      </c>
      <c r="C106" s="129" t="s">
        <v>14</v>
      </c>
      <c r="D106" s="215" t="s">
        <v>54</v>
      </c>
      <c r="E106" s="69">
        <v>100</v>
      </c>
      <c r="F106" s="129">
        <v>1080</v>
      </c>
      <c r="G106" s="92">
        <v>0</v>
      </c>
      <c r="H106" s="93">
        <f>80*85/100</f>
        <v>68</v>
      </c>
      <c r="I106" s="69">
        <f>80*85/100</f>
        <v>68</v>
      </c>
      <c r="J106" s="92">
        <f>70*85/100</f>
        <v>59.5</v>
      </c>
      <c r="K106" s="93">
        <f>95*85/100</f>
        <v>80.75</v>
      </c>
      <c r="L106" s="129">
        <f>95*85/100</f>
        <v>80.75</v>
      </c>
      <c r="M106" s="92">
        <f>80*85/100</f>
        <v>68</v>
      </c>
      <c r="N106" s="93">
        <f>130*85/100</f>
        <v>110.5</v>
      </c>
      <c r="O106" s="69">
        <f>120*85/100</f>
        <v>102</v>
      </c>
      <c r="P106" s="94">
        <f>100*85/100</f>
        <v>85</v>
      </c>
    </row>
    <row r="107" spans="2:16" ht="12" customHeight="1" x14ac:dyDescent="0.25">
      <c r="B107" s="186"/>
      <c r="C107" s="130" t="s">
        <v>89</v>
      </c>
      <c r="D107" s="199"/>
      <c r="E107" s="70">
        <v>150</v>
      </c>
      <c r="F107" s="130">
        <v>1080</v>
      </c>
      <c r="G107" s="156">
        <v>0</v>
      </c>
      <c r="H107" s="20">
        <f>135*85/100</f>
        <v>114.75</v>
      </c>
      <c r="I107" s="70">
        <f>120*85/100</f>
        <v>102</v>
      </c>
      <c r="J107" s="156">
        <f>110*85/100</f>
        <v>93.5</v>
      </c>
      <c r="K107" s="20">
        <f>190*85/100</f>
        <v>161.5</v>
      </c>
      <c r="L107" s="130">
        <f>190*85/100</f>
        <v>161.5</v>
      </c>
      <c r="M107" s="156">
        <f>150*85/100</f>
        <v>127.5</v>
      </c>
      <c r="N107" s="20">
        <f>220*85/100</f>
        <v>187</v>
      </c>
      <c r="O107" s="130">
        <f>220*85/100</f>
        <v>187</v>
      </c>
      <c r="P107" s="87">
        <f>180*85/100</f>
        <v>153</v>
      </c>
    </row>
    <row r="108" spans="2:16" ht="12" customHeight="1" x14ac:dyDescent="0.25">
      <c r="B108" s="186"/>
      <c r="C108" s="130" t="s">
        <v>11</v>
      </c>
      <c r="D108" s="97" t="s">
        <v>54</v>
      </c>
      <c r="E108" s="70">
        <v>200</v>
      </c>
      <c r="F108" s="130">
        <v>1080</v>
      </c>
      <c r="G108" s="156">
        <v>0</v>
      </c>
      <c r="H108" s="20">
        <f>135*85/100</f>
        <v>114.75</v>
      </c>
      <c r="I108" s="130">
        <f t="shared" ref="I108:I109" si="8">120*85/100</f>
        <v>102</v>
      </c>
      <c r="J108" s="156">
        <f t="shared" ref="J108:J109" si="9">110*85/100</f>
        <v>93.5</v>
      </c>
      <c r="K108" s="20">
        <f>270*85/100</f>
        <v>229.5</v>
      </c>
      <c r="L108" s="130">
        <f>270*85/100</f>
        <v>229.5</v>
      </c>
      <c r="M108" s="156">
        <f>215*85/100</f>
        <v>182.75</v>
      </c>
      <c r="N108" s="20">
        <f>290*85/100</f>
        <v>246.5</v>
      </c>
      <c r="O108" s="130">
        <f>290*85/100</f>
        <v>246.5</v>
      </c>
      <c r="P108" s="87">
        <f>230*85/100</f>
        <v>195.5</v>
      </c>
    </row>
    <row r="109" spans="2:16" ht="12" customHeight="1" thickBot="1" x14ac:dyDescent="0.3">
      <c r="B109" s="187"/>
      <c r="C109" s="131"/>
      <c r="D109" s="133"/>
      <c r="E109" s="71">
        <v>250</v>
      </c>
      <c r="F109" s="131">
        <v>1080</v>
      </c>
      <c r="G109" s="155">
        <v>0</v>
      </c>
      <c r="H109" s="81">
        <f>135*85/100</f>
        <v>114.75</v>
      </c>
      <c r="I109" s="131">
        <f t="shared" si="8"/>
        <v>102</v>
      </c>
      <c r="J109" s="155">
        <f t="shared" si="9"/>
        <v>93.5</v>
      </c>
      <c r="K109" s="81">
        <f>340*85/100</f>
        <v>289</v>
      </c>
      <c r="L109" s="131">
        <f>340*85/100</f>
        <v>289</v>
      </c>
      <c r="M109" s="155">
        <f>270*85/100</f>
        <v>229.5</v>
      </c>
      <c r="N109" s="81">
        <f>380*85/100</f>
        <v>323</v>
      </c>
      <c r="O109" s="131">
        <f>380*85/100</f>
        <v>323</v>
      </c>
      <c r="P109" s="82">
        <f>305*85/100</f>
        <v>259.25</v>
      </c>
    </row>
    <row r="110" spans="2:16" ht="3" customHeight="1" thickBot="1" x14ac:dyDescent="0.3">
      <c r="B110" s="95"/>
      <c r="C110" s="65"/>
      <c r="D110" s="98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</row>
    <row r="111" spans="2:16" ht="12" customHeight="1" x14ac:dyDescent="0.25">
      <c r="B111" s="185" t="s">
        <v>19</v>
      </c>
      <c r="C111" s="140" t="s">
        <v>49</v>
      </c>
      <c r="D111" s="215" t="s">
        <v>54</v>
      </c>
      <c r="E111" s="69">
        <v>100</v>
      </c>
      <c r="F111" s="129">
        <v>762</v>
      </c>
      <c r="G111" s="92">
        <v>0</v>
      </c>
      <c r="H111" s="41">
        <v>80</v>
      </c>
      <c r="I111" s="66">
        <v>80</v>
      </c>
      <c r="J111" s="160">
        <v>70</v>
      </c>
      <c r="K111" s="41">
        <v>95</v>
      </c>
      <c r="L111" s="140">
        <v>95</v>
      </c>
      <c r="M111" s="160">
        <v>80</v>
      </c>
      <c r="N111" s="41">
        <v>130</v>
      </c>
      <c r="O111" s="66">
        <v>120</v>
      </c>
      <c r="P111" s="43">
        <v>100</v>
      </c>
    </row>
    <row r="112" spans="2:16" ht="12" customHeight="1" x14ac:dyDescent="0.25">
      <c r="B112" s="186"/>
      <c r="C112" s="141" t="s">
        <v>47</v>
      </c>
      <c r="D112" s="216"/>
      <c r="E112" s="70">
        <v>150</v>
      </c>
      <c r="F112" s="130">
        <v>762</v>
      </c>
      <c r="G112" s="156">
        <v>0</v>
      </c>
      <c r="H112" s="21">
        <v>135</v>
      </c>
      <c r="I112" s="67">
        <v>120</v>
      </c>
      <c r="J112" s="147">
        <v>110</v>
      </c>
      <c r="K112" s="21">
        <v>190</v>
      </c>
      <c r="L112" s="141">
        <v>190</v>
      </c>
      <c r="M112" s="147">
        <v>150</v>
      </c>
      <c r="N112" s="21">
        <v>220</v>
      </c>
      <c r="O112" s="67">
        <v>220</v>
      </c>
      <c r="P112" s="22">
        <v>180</v>
      </c>
    </row>
    <row r="113" spans="2:16" ht="12" customHeight="1" x14ac:dyDescent="0.25">
      <c r="B113" s="186"/>
      <c r="C113" s="141" t="s">
        <v>52</v>
      </c>
      <c r="D113" s="216"/>
      <c r="E113" s="70">
        <v>200</v>
      </c>
      <c r="F113" s="130">
        <v>762</v>
      </c>
      <c r="G113" s="156">
        <v>0</v>
      </c>
      <c r="H113" s="21">
        <v>135</v>
      </c>
      <c r="I113" s="67">
        <v>120</v>
      </c>
      <c r="J113" s="147">
        <v>110</v>
      </c>
      <c r="K113" s="21">
        <v>270</v>
      </c>
      <c r="L113" s="141">
        <v>270</v>
      </c>
      <c r="M113" s="147">
        <v>215</v>
      </c>
      <c r="N113" s="21">
        <v>290</v>
      </c>
      <c r="O113" s="67">
        <v>290</v>
      </c>
      <c r="P113" s="22">
        <v>230</v>
      </c>
    </row>
    <row r="114" spans="2:16" ht="12" customHeight="1" thickBot="1" x14ac:dyDescent="0.3">
      <c r="B114" s="187"/>
      <c r="C114" s="142" t="s">
        <v>50</v>
      </c>
      <c r="D114" s="217"/>
      <c r="E114" s="71">
        <v>250</v>
      </c>
      <c r="F114" s="131">
        <v>762</v>
      </c>
      <c r="G114" s="155">
        <v>0</v>
      </c>
      <c r="H114" s="23">
        <v>135</v>
      </c>
      <c r="I114" s="68">
        <v>120</v>
      </c>
      <c r="J114" s="45">
        <v>110</v>
      </c>
      <c r="K114" s="23">
        <v>340</v>
      </c>
      <c r="L114" s="142">
        <v>340</v>
      </c>
      <c r="M114" s="45">
        <v>270</v>
      </c>
      <c r="N114" s="23">
        <v>380</v>
      </c>
      <c r="O114" s="68">
        <v>380</v>
      </c>
      <c r="P114" s="24">
        <v>305</v>
      </c>
    </row>
    <row r="115" spans="2:16" ht="3" customHeight="1" x14ac:dyDescent="0.25">
      <c r="B115" s="95"/>
      <c r="C115" s="65"/>
      <c r="D115" s="98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</row>
    <row r="116" spans="2:16" ht="16.5" customHeight="1" thickBot="1" x14ac:dyDescent="0.3">
      <c r="B116" s="253" t="s">
        <v>81</v>
      </c>
      <c r="C116" s="254"/>
      <c r="D116" s="254"/>
      <c r="E116" s="254"/>
      <c r="F116" s="254"/>
      <c r="G116" s="254"/>
      <c r="H116" s="254"/>
      <c r="I116" s="254"/>
      <c r="J116" s="254"/>
      <c r="K116" s="254"/>
      <c r="L116" s="254"/>
      <c r="M116" s="254"/>
      <c r="N116" s="254"/>
      <c r="O116" s="254"/>
      <c r="P116" s="255"/>
    </row>
    <row r="117" spans="2:16" ht="12" customHeight="1" x14ac:dyDescent="0.25">
      <c r="B117" s="185" t="s">
        <v>13</v>
      </c>
      <c r="C117" s="66" t="s">
        <v>14</v>
      </c>
      <c r="D117" s="215" t="s">
        <v>54</v>
      </c>
      <c r="E117" s="69">
        <v>100</v>
      </c>
      <c r="F117" s="129" t="s">
        <v>90</v>
      </c>
      <c r="G117" s="92">
        <v>7</v>
      </c>
      <c r="H117" s="41">
        <f>80*85/100</f>
        <v>68</v>
      </c>
      <c r="I117" s="66">
        <f>80*85/100</f>
        <v>68</v>
      </c>
      <c r="J117" s="160"/>
      <c r="K117" s="41">
        <f>95*85/100</f>
        <v>80.75</v>
      </c>
      <c r="L117" s="140">
        <f>95*85/100</f>
        <v>80.75</v>
      </c>
      <c r="M117" s="160"/>
      <c r="N117" s="41">
        <f>130*85/100</f>
        <v>110.5</v>
      </c>
      <c r="O117" s="66">
        <f>120*85/100</f>
        <v>102</v>
      </c>
      <c r="P117" s="43"/>
    </row>
    <row r="118" spans="2:16" ht="12" customHeight="1" x14ac:dyDescent="0.25">
      <c r="B118" s="186"/>
      <c r="C118" s="67" t="s">
        <v>50</v>
      </c>
      <c r="D118" s="199"/>
      <c r="E118" s="70">
        <v>150</v>
      </c>
      <c r="F118" s="130" t="s">
        <v>90</v>
      </c>
      <c r="G118" s="156">
        <v>7</v>
      </c>
      <c r="H118" s="21">
        <f>135*85/100</f>
        <v>114.75</v>
      </c>
      <c r="I118" s="67">
        <f>120*85/100</f>
        <v>102</v>
      </c>
      <c r="J118" s="147"/>
      <c r="K118" s="21">
        <f>190*85/100</f>
        <v>161.5</v>
      </c>
      <c r="L118" s="141">
        <f>190*85/100</f>
        <v>161.5</v>
      </c>
      <c r="M118" s="147"/>
      <c r="N118" s="21">
        <f>220*85/100</f>
        <v>187</v>
      </c>
      <c r="O118" s="141">
        <f>220*85/100</f>
        <v>187</v>
      </c>
      <c r="P118" s="22"/>
    </row>
    <row r="119" spans="2:16" ht="12" customHeight="1" x14ac:dyDescent="0.25">
      <c r="B119" s="186"/>
      <c r="C119" s="67"/>
      <c r="D119" s="97"/>
      <c r="E119" s="70">
        <v>200</v>
      </c>
      <c r="F119" s="130" t="s">
        <v>90</v>
      </c>
      <c r="G119" s="156">
        <v>7</v>
      </c>
      <c r="H119" s="21">
        <f t="shared" ref="H119:H120" si="10">135*85/100</f>
        <v>114.75</v>
      </c>
      <c r="I119" s="141">
        <f t="shared" ref="I119:I120" si="11">120*85/100</f>
        <v>102</v>
      </c>
      <c r="J119" s="147"/>
      <c r="K119" s="21">
        <f>270*85/100</f>
        <v>229.5</v>
      </c>
      <c r="L119" s="141">
        <f>270*85/100</f>
        <v>229.5</v>
      </c>
      <c r="M119" s="147"/>
      <c r="N119" s="21">
        <f>290*85/100</f>
        <v>246.5</v>
      </c>
      <c r="O119" s="141">
        <f>290*85/100</f>
        <v>246.5</v>
      </c>
      <c r="P119" s="22"/>
    </row>
    <row r="120" spans="2:16" ht="12" customHeight="1" thickBot="1" x14ac:dyDescent="0.3">
      <c r="B120" s="187"/>
      <c r="C120" s="107"/>
      <c r="D120" s="107"/>
      <c r="E120" s="71">
        <v>250</v>
      </c>
      <c r="F120" s="131" t="s">
        <v>90</v>
      </c>
      <c r="G120" s="155">
        <v>7</v>
      </c>
      <c r="H120" s="23">
        <f t="shared" si="10"/>
        <v>114.75</v>
      </c>
      <c r="I120" s="142">
        <f t="shared" si="11"/>
        <v>102</v>
      </c>
      <c r="J120" s="45"/>
      <c r="K120" s="23">
        <f>340*85/100</f>
        <v>289</v>
      </c>
      <c r="L120" s="68">
        <f>290*85/100</f>
        <v>246.5</v>
      </c>
      <c r="M120" s="45"/>
      <c r="N120" s="23">
        <f>380*85/100</f>
        <v>323</v>
      </c>
      <c r="O120" s="142">
        <f>380*85/100</f>
        <v>323</v>
      </c>
      <c r="P120" s="24"/>
    </row>
    <row r="121" spans="2:16" ht="3" customHeight="1" thickBot="1" x14ac:dyDescent="0.3">
      <c r="B121" s="95"/>
      <c r="C121" s="132"/>
      <c r="D121" s="98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</row>
    <row r="122" spans="2:16" ht="12" customHeight="1" x14ac:dyDescent="0.25">
      <c r="B122" s="185" t="s">
        <v>19</v>
      </c>
      <c r="C122" s="140" t="s">
        <v>14</v>
      </c>
      <c r="D122" s="215" t="s">
        <v>54</v>
      </c>
      <c r="E122" s="129">
        <v>100</v>
      </c>
      <c r="F122" s="129" t="s">
        <v>91</v>
      </c>
      <c r="G122" s="92">
        <v>7</v>
      </c>
      <c r="H122" s="41">
        <f>80*85/100</f>
        <v>68</v>
      </c>
      <c r="I122" s="140">
        <f>80*85/100</f>
        <v>68</v>
      </c>
      <c r="J122" s="160">
        <f>45*85/100</f>
        <v>38.25</v>
      </c>
      <c r="K122" s="41">
        <f>95*85/100</f>
        <v>80.75</v>
      </c>
      <c r="L122" s="140">
        <f>95*85/100</f>
        <v>80.75</v>
      </c>
      <c r="M122" s="160">
        <f>70*85/100</f>
        <v>59.5</v>
      </c>
      <c r="N122" s="41">
        <f>130*85/100</f>
        <v>110.5</v>
      </c>
      <c r="O122" s="140">
        <f>120*85/100</f>
        <v>102</v>
      </c>
      <c r="P122" s="43">
        <f>70*85/100</f>
        <v>59.5</v>
      </c>
    </row>
    <row r="123" spans="2:16" ht="12" customHeight="1" x14ac:dyDescent="0.25">
      <c r="B123" s="186"/>
      <c r="C123" s="141" t="s">
        <v>50</v>
      </c>
      <c r="D123" s="216"/>
      <c r="E123" s="130">
        <v>150</v>
      </c>
      <c r="F123" s="130" t="s">
        <v>91</v>
      </c>
      <c r="G123" s="156">
        <v>7</v>
      </c>
      <c r="H123" s="21">
        <f>135*85/100</f>
        <v>114.75</v>
      </c>
      <c r="I123" s="141">
        <f>120*85/100</f>
        <v>102</v>
      </c>
      <c r="J123" s="147">
        <f>55*85/100</f>
        <v>46.75</v>
      </c>
      <c r="K123" s="21">
        <f>190*85/100</f>
        <v>161.5</v>
      </c>
      <c r="L123" s="141">
        <f>190*85/100</f>
        <v>161.5</v>
      </c>
      <c r="M123" s="147">
        <f>80*85/100</f>
        <v>68</v>
      </c>
      <c r="N123" s="21">
        <f>220*85/100</f>
        <v>187</v>
      </c>
      <c r="O123" s="141">
        <f>220*85/100</f>
        <v>187</v>
      </c>
      <c r="P123" s="22">
        <f>85*85/100</f>
        <v>72.25</v>
      </c>
    </row>
    <row r="124" spans="2:16" ht="12" customHeight="1" x14ac:dyDescent="0.25">
      <c r="B124" s="186"/>
      <c r="C124" s="141" t="s">
        <v>89</v>
      </c>
      <c r="D124" s="199"/>
      <c r="E124" s="130">
        <v>200</v>
      </c>
      <c r="F124" s="146" t="s">
        <v>91</v>
      </c>
      <c r="G124" s="156">
        <v>7</v>
      </c>
      <c r="H124" s="21">
        <f t="shared" ref="H124:H125" si="12">135*85/100</f>
        <v>114.75</v>
      </c>
      <c r="I124" s="141">
        <f t="shared" ref="I124:I125" si="13">120*85/100</f>
        <v>102</v>
      </c>
      <c r="J124" s="147">
        <f>70*85/100</f>
        <v>59.5</v>
      </c>
      <c r="K124" s="21">
        <f>270*85/100</f>
        <v>229.5</v>
      </c>
      <c r="L124" s="141">
        <f>270*85/100</f>
        <v>229.5</v>
      </c>
      <c r="M124" s="147">
        <f>95*85/100</f>
        <v>80.75</v>
      </c>
      <c r="N124" s="21">
        <f>290*85/100</f>
        <v>246.5</v>
      </c>
      <c r="O124" s="141">
        <f>290*85/100</f>
        <v>246.5</v>
      </c>
      <c r="P124" s="22">
        <f>115*85/100</f>
        <v>97.75</v>
      </c>
    </row>
    <row r="125" spans="2:16" ht="12" customHeight="1" thickBot="1" x14ac:dyDescent="0.3">
      <c r="B125" s="187"/>
      <c r="C125" s="142" t="s">
        <v>11</v>
      </c>
      <c r="D125" s="106" t="s">
        <v>20</v>
      </c>
      <c r="E125" s="131">
        <v>250</v>
      </c>
      <c r="F125" s="130" t="s">
        <v>91</v>
      </c>
      <c r="G125" s="155">
        <v>7</v>
      </c>
      <c r="H125" s="23">
        <f t="shared" si="12"/>
        <v>114.75</v>
      </c>
      <c r="I125" s="142">
        <f t="shared" si="13"/>
        <v>102</v>
      </c>
      <c r="J125" s="45">
        <f>80*85/100</f>
        <v>68</v>
      </c>
      <c r="K125" s="23">
        <f>340*85/100</f>
        <v>289</v>
      </c>
      <c r="L125" s="142">
        <f>290*85/100</f>
        <v>246.5</v>
      </c>
      <c r="M125" s="45">
        <f>115*85/100</f>
        <v>97.75</v>
      </c>
      <c r="N125" s="23">
        <f>380*85/100</f>
        <v>323</v>
      </c>
      <c r="O125" s="142">
        <f>380*85/100</f>
        <v>323</v>
      </c>
      <c r="P125" s="24">
        <f>145*85/100</f>
        <v>123.25</v>
      </c>
    </row>
    <row r="126" spans="2:16" ht="12.75" thickBot="1" x14ac:dyDescent="0.3">
      <c r="B126" s="250"/>
      <c r="C126" s="251"/>
      <c r="D126" s="251"/>
      <c r="E126" s="251"/>
      <c r="F126" s="251"/>
      <c r="G126" s="251"/>
      <c r="H126" s="251"/>
      <c r="I126" s="251"/>
      <c r="J126" s="251"/>
      <c r="K126" s="251"/>
      <c r="L126" s="251"/>
      <c r="M126" s="251"/>
      <c r="N126" s="251"/>
      <c r="O126" s="251"/>
      <c r="P126" s="252"/>
    </row>
    <row r="128" spans="2:16" ht="25.5" customHeight="1" x14ac:dyDescent="0.25">
      <c r="C128" s="29" t="s">
        <v>71</v>
      </c>
      <c r="D128" s="29"/>
      <c r="E128" s="30"/>
      <c r="F128" s="30"/>
      <c r="G128" s="30"/>
      <c r="H128" s="30"/>
      <c r="I128" s="30"/>
      <c r="J128" s="188" t="s">
        <v>70</v>
      </c>
      <c r="K128" s="188"/>
      <c r="L128" s="188"/>
      <c r="M128" s="188"/>
      <c r="N128" s="188"/>
      <c r="O128" s="188"/>
      <c r="P128" s="188"/>
    </row>
    <row r="129" spans="1:16" s="96" customFormat="1" ht="15" customHeight="1" x14ac:dyDescent="0.25">
      <c r="G129" s="234"/>
      <c r="H129" s="234"/>
    </row>
    <row r="131" spans="1:16" ht="15" customHeight="1" x14ac:dyDescent="0.25">
      <c r="A131" s="204"/>
      <c r="B131" s="204"/>
      <c r="C131" s="204"/>
      <c r="D131" s="204"/>
      <c r="E131" s="204"/>
      <c r="F131" s="204"/>
      <c r="G131" s="204"/>
      <c r="H131" s="204"/>
      <c r="I131" s="204"/>
      <c r="J131" s="204"/>
      <c r="K131" s="204"/>
      <c r="L131" s="204"/>
      <c r="M131" s="204"/>
      <c r="N131" s="204"/>
      <c r="O131" s="204"/>
      <c r="P131" s="204"/>
    </row>
  </sheetData>
  <mergeCells count="67">
    <mergeCell ref="A131:P131"/>
    <mergeCell ref="B32:B35"/>
    <mergeCell ref="C35:D35"/>
    <mergeCell ref="B37:B40"/>
    <mergeCell ref="D32:D33"/>
    <mergeCell ref="D37:D40"/>
    <mergeCell ref="B42:P42"/>
    <mergeCell ref="B43:B46"/>
    <mergeCell ref="B116:P116"/>
    <mergeCell ref="B117:B120"/>
    <mergeCell ref="B111:B114"/>
    <mergeCell ref="B48:B51"/>
    <mergeCell ref="C43:C46"/>
    <mergeCell ref="D43:D46"/>
    <mergeCell ref="B99:P99"/>
    <mergeCell ref="B100:B103"/>
    <mergeCell ref="N1:P1"/>
    <mergeCell ref="D4:D6"/>
    <mergeCell ref="E4:E6"/>
    <mergeCell ref="F4:F6"/>
    <mergeCell ref="G4:G6"/>
    <mergeCell ref="H4:J4"/>
    <mergeCell ref="K4:M4"/>
    <mergeCell ref="N4:P4"/>
    <mergeCell ref="H5:J5"/>
    <mergeCell ref="K5:M5"/>
    <mergeCell ref="N5:P5"/>
    <mergeCell ref="B4:C6"/>
    <mergeCell ref="D16:D19"/>
    <mergeCell ref="B16:B20"/>
    <mergeCell ref="B15:P15"/>
    <mergeCell ref="B31:P31"/>
    <mergeCell ref="C21:P21"/>
    <mergeCell ref="E22:P22"/>
    <mergeCell ref="B7:P7"/>
    <mergeCell ref="B8:P8"/>
    <mergeCell ref="B9:B13"/>
    <mergeCell ref="D9:D12"/>
    <mergeCell ref="D48:D49"/>
    <mergeCell ref="E88:P88"/>
    <mergeCell ref="B93:P93"/>
    <mergeCell ref="B126:P126"/>
    <mergeCell ref="B94:B97"/>
    <mergeCell ref="B105:P105"/>
    <mergeCell ref="B106:B109"/>
    <mergeCell ref="D122:D124"/>
    <mergeCell ref="D117:D118"/>
    <mergeCell ref="D100:D103"/>
    <mergeCell ref="D94:D97"/>
    <mergeCell ref="D106:D107"/>
    <mergeCell ref="D111:D114"/>
    <mergeCell ref="J128:P128"/>
    <mergeCell ref="B122:B125"/>
    <mergeCell ref="G129:H129"/>
    <mergeCell ref="B53:P53"/>
    <mergeCell ref="C54:P54"/>
    <mergeCell ref="E55:P55"/>
    <mergeCell ref="C60:P60"/>
    <mergeCell ref="E61:P61"/>
    <mergeCell ref="C66:P66"/>
    <mergeCell ref="E67:P67"/>
    <mergeCell ref="C72:P72"/>
    <mergeCell ref="C73:P73"/>
    <mergeCell ref="E74:P74"/>
    <mergeCell ref="C81:P81"/>
    <mergeCell ref="E82:P82"/>
    <mergeCell ref="C87:P87"/>
  </mergeCells>
  <pageMargins left="0.31496062992125984" right="0.31496062992125984" top="0.15748031496062992" bottom="0.15748031496062992" header="0.11811023622047245" footer="0.11811023622047245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view="pageBreakPreview" zoomScaleNormal="100" zoomScaleSheetLayoutView="100" workbookViewId="0">
      <selection activeCell="P2" sqref="P2"/>
    </sheetView>
  </sheetViews>
  <sheetFormatPr defaultRowHeight="12" x14ac:dyDescent="0.25"/>
  <cols>
    <col min="1" max="1" width="2" style="1" customWidth="1"/>
    <col min="2" max="2" width="3.5703125" style="1" customWidth="1"/>
    <col min="3" max="3" width="10.5703125" style="1" customWidth="1"/>
    <col min="4" max="4" width="12.42578125" style="1" customWidth="1"/>
    <col min="5" max="5" width="6.5703125" style="96" customWidth="1"/>
    <col min="6" max="6" width="6.85546875" style="96" customWidth="1"/>
    <col min="7" max="7" width="6.5703125" style="96" customWidth="1"/>
    <col min="8" max="8" width="6.5703125" style="1" customWidth="1"/>
    <col min="9" max="9" width="4.28515625" style="1" customWidth="1"/>
    <col min="10" max="11" width="6.5703125" style="1" customWidth="1"/>
    <col min="12" max="12" width="4.28515625" style="1" customWidth="1"/>
    <col min="13" max="14" width="6.5703125" style="1" customWidth="1"/>
    <col min="15" max="15" width="4.28515625" style="1" customWidth="1"/>
    <col min="16" max="16" width="6.5703125" style="1" customWidth="1"/>
    <col min="17" max="16384" width="9.140625" style="1"/>
  </cols>
  <sheetData>
    <row r="1" spans="2:16" ht="15.75" x14ac:dyDescent="0.25">
      <c r="C1" s="28"/>
      <c r="D1" s="28"/>
      <c r="E1" s="3"/>
      <c r="F1" s="3"/>
      <c r="G1" s="3"/>
      <c r="H1" s="28"/>
      <c r="I1" s="28"/>
      <c r="M1" s="28"/>
      <c r="N1" s="301" t="s">
        <v>93</v>
      </c>
      <c r="O1" s="301"/>
      <c r="P1" s="301"/>
    </row>
    <row r="2" spans="2:16" ht="15.75" x14ac:dyDescent="0.25">
      <c r="C2" s="28"/>
      <c r="D2" s="28"/>
      <c r="E2" s="3"/>
      <c r="F2" s="3"/>
      <c r="G2" s="3"/>
      <c r="H2" s="28"/>
      <c r="I2" s="28"/>
      <c r="M2" s="28"/>
      <c r="N2" s="166"/>
      <c r="O2" s="166"/>
      <c r="P2" s="167" t="s">
        <v>94</v>
      </c>
    </row>
    <row r="3" spans="2:16" ht="15.75" x14ac:dyDescent="0.25">
      <c r="C3" s="28"/>
      <c r="D3" s="28"/>
      <c r="E3" s="3"/>
      <c r="F3" s="3"/>
      <c r="G3" s="3"/>
      <c r="H3" s="28"/>
      <c r="I3" s="28"/>
      <c r="M3" s="28"/>
      <c r="N3" s="166"/>
      <c r="O3" s="166"/>
      <c r="P3" s="167" t="s">
        <v>72</v>
      </c>
    </row>
    <row r="4" spans="2:16" ht="15.75" x14ac:dyDescent="0.25">
      <c r="C4" s="11"/>
      <c r="D4" s="28"/>
      <c r="E4" s="3"/>
      <c r="F4" s="3"/>
      <c r="G4" s="3"/>
      <c r="H4" s="28"/>
      <c r="I4" s="28"/>
      <c r="M4" s="28"/>
      <c r="N4" s="302"/>
      <c r="O4" s="302"/>
      <c r="P4" s="302"/>
    </row>
    <row r="5" spans="2:16" ht="12.75" thickBot="1" x14ac:dyDescent="0.3">
      <c r="C5" s="2"/>
      <c r="D5" s="28"/>
      <c r="E5" s="3"/>
      <c r="F5" s="3"/>
      <c r="G5" s="3"/>
      <c r="H5" s="28"/>
      <c r="I5" s="28"/>
      <c r="J5" s="28"/>
      <c r="K5" s="28"/>
      <c r="L5" s="28"/>
      <c r="M5" s="28"/>
      <c r="N5" s="28"/>
      <c r="O5" s="28"/>
      <c r="P5" s="28"/>
    </row>
    <row r="6" spans="2:16" ht="26.25" customHeight="1" x14ac:dyDescent="0.25">
      <c r="B6" s="218" t="s">
        <v>0</v>
      </c>
      <c r="C6" s="200"/>
      <c r="D6" s="200" t="s">
        <v>68</v>
      </c>
      <c r="E6" s="205" t="s">
        <v>24</v>
      </c>
      <c r="F6" s="205" t="s">
        <v>10</v>
      </c>
      <c r="G6" s="205" t="s">
        <v>12</v>
      </c>
      <c r="H6" s="200" t="s">
        <v>1</v>
      </c>
      <c r="I6" s="200"/>
      <c r="J6" s="200"/>
      <c r="K6" s="200" t="s">
        <v>1</v>
      </c>
      <c r="L6" s="200"/>
      <c r="M6" s="200"/>
      <c r="N6" s="200" t="s">
        <v>1</v>
      </c>
      <c r="O6" s="200"/>
      <c r="P6" s="219"/>
    </row>
    <row r="7" spans="2:16" ht="38.25" customHeight="1" x14ac:dyDescent="0.25">
      <c r="B7" s="223"/>
      <c r="C7" s="201"/>
      <c r="D7" s="201"/>
      <c r="E7" s="206"/>
      <c r="F7" s="206"/>
      <c r="G7" s="206"/>
      <c r="H7" s="201" t="s">
        <v>7</v>
      </c>
      <c r="I7" s="201"/>
      <c r="J7" s="201"/>
      <c r="K7" s="201" t="s">
        <v>2</v>
      </c>
      <c r="L7" s="201"/>
      <c r="M7" s="201"/>
      <c r="N7" s="201" t="s">
        <v>3</v>
      </c>
      <c r="O7" s="201"/>
      <c r="P7" s="224"/>
    </row>
    <row r="8" spans="2:16" ht="45.75" thickBot="1" x14ac:dyDescent="0.3">
      <c r="B8" s="256"/>
      <c r="C8" s="202"/>
      <c r="D8" s="202"/>
      <c r="E8" s="207"/>
      <c r="F8" s="207"/>
      <c r="G8" s="207"/>
      <c r="H8" s="68" t="s">
        <v>4</v>
      </c>
      <c r="I8" s="25" t="s">
        <v>5</v>
      </c>
      <c r="J8" s="68" t="s">
        <v>6</v>
      </c>
      <c r="K8" s="68" t="s">
        <v>4</v>
      </c>
      <c r="L8" s="25" t="s">
        <v>5</v>
      </c>
      <c r="M8" s="68" t="s">
        <v>6</v>
      </c>
      <c r="N8" s="68" t="s">
        <v>4</v>
      </c>
      <c r="O8" s="25" t="s">
        <v>5</v>
      </c>
      <c r="P8" s="24" t="s">
        <v>6</v>
      </c>
    </row>
    <row r="9" spans="2:16" ht="16.5" customHeight="1" thickBot="1" x14ac:dyDescent="0.3">
      <c r="B9" s="303" t="s">
        <v>67</v>
      </c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5"/>
    </row>
    <row r="10" spans="2:16" ht="15" customHeight="1" thickBot="1" x14ac:dyDescent="0.3">
      <c r="B10" s="275" t="s">
        <v>82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7"/>
    </row>
    <row r="11" spans="2:16" ht="24" customHeight="1" x14ac:dyDescent="0.25">
      <c r="B11" s="278" t="s">
        <v>13</v>
      </c>
      <c r="C11" s="72" t="s">
        <v>11</v>
      </c>
      <c r="D11" s="109" t="s">
        <v>87</v>
      </c>
      <c r="E11" s="78" t="s">
        <v>58</v>
      </c>
      <c r="F11" s="126" t="s">
        <v>88</v>
      </c>
      <c r="G11" s="163" t="s">
        <v>85</v>
      </c>
      <c r="H11" s="149">
        <v>45</v>
      </c>
      <c r="I11" s="72">
        <v>45</v>
      </c>
      <c r="J11" s="161">
        <v>50</v>
      </c>
      <c r="K11" s="149">
        <v>60</v>
      </c>
      <c r="L11" s="72">
        <v>60</v>
      </c>
      <c r="M11" s="161">
        <v>60</v>
      </c>
      <c r="N11" s="149">
        <v>70</v>
      </c>
      <c r="O11" s="72">
        <v>70</v>
      </c>
      <c r="P11" s="73">
        <v>85</v>
      </c>
    </row>
    <row r="12" spans="2:16" ht="12" customHeight="1" x14ac:dyDescent="0.25">
      <c r="B12" s="270"/>
      <c r="C12" s="74" t="s">
        <v>14</v>
      </c>
      <c r="D12" s="291" t="s">
        <v>20</v>
      </c>
      <c r="E12" s="77">
        <v>150</v>
      </c>
      <c r="F12" s="127" t="s">
        <v>88</v>
      </c>
      <c r="G12" s="157" t="s">
        <v>85</v>
      </c>
      <c r="H12" s="150">
        <v>50</v>
      </c>
      <c r="I12" s="74">
        <v>50</v>
      </c>
      <c r="J12" s="158">
        <v>80</v>
      </c>
      <c r="K12" s="150">
        <v>70</v>
      </c>
      <c r="L12" s="74">
        <v>70</v>
      </c>
      <c r="M12" s="158">
        <v>110</v>
      </c>
      <c r="N12" s="150">
        <v>90</v>
      </c>
      <c r="O12" s="74">
        <v>90</v>
      </c>
      <c r="P12" s="75">
        <v>150</v>
      </c>
    </row>
    <row r="13" spans="2:16" ht="12" customHeight="1" x14ac:dyDescent="0.25">
      <c r="B13" s="270"/>
      <c r="C13" s="74" t="s">
        <v>5</v>
      </c>
      <c r="D13" s="293"/>
      <c r="E13" s="77">
        <v>200</v>
      </c>
      <c r="F13" s="127" t="s">
        <v>88</v>
      </c>
      <c r="G13" s="157" t="s">
        <v>85</v>
      </c>
      <c r="H13" s="150">
        <v>60</v>
      </c>
      <c r="I13" s="74">
        <v>60</v>
      </c>
      <c r="J13" s="158">
        <v>80</v>
      </c>
      <c r="K13" s="150">
        <v>90</v>
      </c>
      <c r="L13" s="74">
        <v>90</v>
      </c>
      <c r="M13" s="158">
        <v>160</v>
      </c>
      <c r="N13" s="150">
        <v>120</v>
      </c>
      <c r="O13" s="74">
        <v>120</v>
      </c>
      <c r="P13" s="75">
        <v>190</v>
      </c>
    </row>
    <row r="14" spans="2:16" ht="12" customHeight="1" thickBot="1" x14ac:dyDescent="0.3">
      <c r="B14" s="270"/>
      <c r="C14" s="125"/>
      <c r="D14" s="114"/>
      <c r="E14" s="128">
        <v>250</v>
      </c>
      <c r="F14" s="128" t="s">
        <v>88</v>
      </c>
      <c r="G14" s="164" t="s">
        <v>85</v>
      </c>
      <c r="H14" s="159">
        <v>70</v>
      </c>
      <c r="I14" s="125">
        <v>70</v>
      </c>
      <c r="J14" s="162">
        <v>80</v>
      </c>
      <c r="K14" s="159">
        <v>105</v>
      </c>
      <c r="L14" s="125">
        <v>105</v>
      </c>
      <c r="M14" s="162">
        <v>200</v>
      </c>
      <c r="N14" s="159">
        <v>150</v>
      </c>
      <c r="O14" s="125">
        <v>150</v>
      </c>
      <c r="P14" s="111">
        <v>255</v>
      </c>
    </row>
    <row r="15" spans="2:16" ht="3.75" customHeight="1" thickBot="1" x14ac:dyDescent="0.3">
      <c r="B15" s="287"/>
      <c r="C15" s="294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6"/>
    </row>
    <row r="16" spans="2:16" ht="24" x14ac:dyDescent="0.25">
      <c r="B16" s="287"/>
      <c r="C16" s="89" t="s">
        <v>11</v>
      </c>
      <c r="D16" s="145" t="s">
        <v>87</v>
      </c>
      <c r="E16" s="90" t="s">
        <v>58</v>
      </c>
      <c r="F16" s="90">
        <v>900</v>
      </c>
      <c r="G16" s="165" t="s">
        <v>85</v>
      </c>
      <c r="H16" s="149">
        <f>45*85/100</f>
        <v>38.25</v>
      </c>
      <c r="I16" s="121">
        <f>45*85/100</f>
        <v>38.25</v>
      </c>
      <c r="J16" s="161">
        <f>50*85/100</f>
        <v>42.5</v>
      </c>
      <c r="K16" s="149">
        <f>60*85/100</f>
        <v>51</v>
      </c>
      <c r="L16" s="121">
        <f>60*85/100</f>
        <v>51</v>
      </c>
      <c r="M16" s="161">
        <f>60*85/100</f>
        <v>51</v>
      </c>
      <c r="N16" s="149">
        <f>70*85/100</f>
        <v>59.5</v>
      </c>
      <c r="O16" s="121">
        <f>70*85/100</f>
        <v>59.5</v>
      </c>
      <c r="P16" s="122">
        <f>85*85/100</f>
        <v>72.25</v>
      </c>
    </row>
    <row r="17" spans="2:16" x14ac:dyDescent="0.25">
      <c r="B17" s="287"/>
      <c r="C17" s="123" t="s">
        <v>14</v>
      </c>
      <c r="D17" s="291" t="s">
        <v>20</v>
      </c>
      <c r="E17" s="127">
        <v>150</v>
      </c>
      <c r="F17" s="127">
        <v>900</v>
      </c>
      <c r="G17" s="157" t="s">
        <v>85</v>
      </c>
      <c r="H17" s="150">
        <f>50*85/100</f>
        <v>42.5</v>
      </c>
      <c r="I17" s="123">
        <f>50*85/100</f>
        <v>42.5</v>
      </c>
      <c r="J17" s="158">
        <f>80*85/100</f>
        <v>68</v>
      </c>
      <c r="K17" s="150">
        <f>70*85/100</f>
        <v>59.5</v>
      </c>
      <c r="L17" s="123">
        <f>70*85/100</f>
        <v>59.5</v>
      </c>
      <c r="M17" s="158">
        <f>110*85/100</f>
        <v>93.5</v>
      </c>
      <c r="N17" s="150">
        <f>90*85/100</f>
        <v>76.5</v>
      </c>
      <c r="O17" s="123">
        <f>90*85/100</f>
        <v>76.5</v>
      </c>
      <c r="P17" s="124">
        <f>150*85/100</f>
        <v>127.5</v>
      </c>
    </row>
    <row r="18" spans="2:16" x14ac:dyDescent="0.25">
      <c r="B18" s="287"/>
      <c r="C18" s="123" t="s">
        <v>5</v>
      </c>
      <c r="D18" s="293"/>
      <c r="E18" s="127">
        <v>200</v>
      </c>
      <c r="F18" s="127">
        <v>900</v>
      </c>
      <c r="G18" s="157" t="s">
        <v>85</v>
      </c>
      <c r="H18" s="150">
        <f>60*85/100</f>
        <v>51</v>
      </c>
      <c r="I18" s="123">
        <f>60*85/100</f>
        <v>51</v>
      </c>
      <c r="J18" s="158">
        <f>80*85/100</f>
        <v>68</v>
      </c>
      <c r="K18" s="150">
        <f>90*85/100</f>
        <v>76.5</v>
      </c>
      <c r="L18" s="123">
        <f>90*85/100</f>
        <v>76.5</v>
      </c>
      <c r="M18" s="158">
        <f>160*85/100</f>
        <v>136</v>
      </c>
      <c r="N18" s="150">
        <f>120*85/100</f>
        <v>102</v>
      </c>
      <c r="O18" s="123">
        <f>120*85/100</f>
        <v>102</v>
      </c>
      <c r="P18" s="124">
        <f>190*85/100</f>
        <v>161.5</v>
      </c>
    </row>
    <row r="19" spans="2:16" ht="12.75" thickBot="1" x14ac:dyDescent="0.3">
      <c r="B19" s="287"/>
      <c r="C19" s="125"/>
      <c r="D19" s="114"/>
      <c r="E19" s="128">
        <v>250</v>
      </c>
      <c r="F19" s="128">
        <v>900</v>
      </c>
      <c r="G19" s="164" t="s">
        <v>85</v>
      </c>
      <c r="H19" s="159">
        <f>70*85/100</f>
        <v>59.5</v>
      </c>
      <c r="I19" s="125">
        <f>70*85/100</f>
        <v>59.5</v>
      </c>
      <c r="J19" s="162">
        <f>80*85/100</f>
        <v>68</v>
      </c>
      <c r="K19" s="159">
        <f>105*85/100</f>
        <v>89.25</v>
      </c>
      <c r="L19" s="125">
        <f>105*85/100</f>
        <v>89.25</v>
      </c>
      <c r="M19" s="162">
        <f>200*85/100</f>
        <v>170</v>
      </c>
      <c r="N19" s="159">
        <f>150*85/100</f>
        <v>127.5</v>
      </c>
      <c r="O19" s="125">
        <f>150*85/100</f>
        <v>127.5</v>
      </c>
      <c r="P19" s="111">
        <f>255*85/100</f>
        <v>216.75</v>
      </c>
    </row>
    <row r="20" spans="2:16" ht="3.75" customHeight="1" thickBot="1" x14ac:dyDescent="0.3">
      <c r="B20" s="287"/>
      <c r="C20" s="294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6"/>
    </row>
    <row r="21" spans="2:16" ht="24" x14ac:dyDescent="0.25">
      <c r="B21" s="287"/>
      <c r="C21" s="121" t="s">
        <v>11</v>
      </c>
      <c r="D21" s="109" t="s">
        <v>87</v>
      </c>
      <c r="E21" s="126" t="s">
        <v>58</v>
      </c>
      <c r="F21" s="126">
        <v>2200</v>
      </c>
      <c r="G21" s="163" t="s">
        <v>85</v>
      </c>
      <c r="H21" s="149">
        <f>45*80/100</f>
        <v>36</v>
      </c>
      <c r="I21" s="121">
        <f>45*80/100</f>
        <v>36</v>
      </c>
      <c r="J21" s="161">
        <f>50*80/100</f>
        <v>40</v>
      </c>
      <c r="K21" s="149">
        <f>60*80/100</f>
        <v>48</v>
      </c>
      <c r="L21" s="121">
        <f>60*80/100</f>
        <v>48</v>
      </c>
      <c r="M21" s="161">
        <f>60*80/100</f>
        <v>48</v>
      </c>
      <c r="N21" s="149">
        <f>70*80/100</f>
        <v>56</v>
      </c>
      <c r="O21" s="121">
        <f>70*80/100</f>
        <v>56</v>
      </c>
      <c r="P21" s="122">
        <f>85*80/100</f>
        <v>68</v>
      </c>
    </row>
    <row r="22" spans="2:16" x14ac:dyDescent="0.25">
      <c r="B22" s="287"/>
      <c r="C22" s="123" t="s">
        <v>14</v>
      </c>
      <c r="D22" s="291" t="s">
        <v>20</v>
      </c>
      <c r="E22" s="127">
        <v>150</v>
      </c>
      <c r="F22" s="127">
        <v>2200</v>
      </c>
      <c r="G22" s="157" t="s">
        <v>85</v>
      </c>
      <c r="H22" s="150">
        <f>50*80/100</f>
        <v>40</v>
      </c>
      <c r="I22" s="123">
        <f>50*80/100</f>
        <v>40</v>
      </c>
      <c r="J22" s="158">
        <f>80*80/100</f>
        <v>64</v>
      </c>
      <c r="K22" s="150">
        <f>70*80/100</f>
        <v>56</v>
      </c>
      <c r="L22" s="123">
        <f>70*80/100</f>
        <v>56</v>
      </c>
      <c r="M22" s="158">
        <f>110*80/100</f>
        <v>88</v>
      </c>
      <c r="N22" s="150">
        <f>90*80/100</f>
        <v>72</v>
      </c>
      <c r="O22" s="123">
        <f>90*80/100</f>
        <v>72</v>
      </c>
      <c r="P22" s="124">
        <f>150*80/100</f>
        <v>120</v>
      </c>
    </row>
    <row r="23" spans="2:16" x14ac:dyDescent="0.25">
      <c r="B23" s="287"/>
      <c r="C23" s="123" t="s">
        <v>5</v>
      </c>
      <c r="D23" s="293"/>
      <c r="E23" s="127">
        <v>200</v>
      </c>
      <c r="F23" s="127">
        <v>2200</v>
      </c>
      <c r="G23" s="157" t="s">
        <v>85</v>
      </c>
      <c r="H23" s="150">
        <f>60*80/100</f>
        <v>48</v>
      </c>
      <c r="I23" s="123">
        <f>60*80/100</f>
        <v>48</v>
      </c>
      <c r="J23" s="158">
        <f>80*80/100</f>
        <v>64</v>
      </c>
      <c r="K23" s="150">
        <f>90*80/100</f>
        <v>72</v>
      </c>
      <c r="L23" s="123">
        <f>90*80/100</f>
        <v>72</v>
      </c>
      <c r="M23" s="158">
        <f>160*80/100</f>
        <v>128</v>
      </c>
      <c r="N23" s="150">
        <f>120*80/100</f>
        <v>96</v>
      </c>
      <c r="O23" s="123">
        <f>120*80/100</f>
        <v>96</v>
      </c>
      <c r="P23" s="124">
        <f>190*80/100</f>
        <v>152</v>
      </c>
    </row>
    <row r="24" spans="2:16" ht="12.75" thickBot="1" x14ac:dyDescent="0.3">
      <c r="B24" s="287"/>
      <c r="C24" s="125"/>
      <c r="D24" s="114"/>
      <c r="E24" s="128">
        <v>250</v>
      </c>
      <c r="F24" s="128">
        <v>2200</v>
      </c>
      <c r="G24" s="164" t="s">
        <v>85</v>
      </c>
      <c r="H24" s="159">
        <f>70*80/100</f>
        <v>56</v>
      </c>
      <c r="I24" s="125">
        <f>70*80/100</f>
        <v>56</v>
      </c>
      <c r="J24" s="162">
        <f>80*80/100</f>
        <v>64</v>
      </c>
      <c r="K24" s="159">
        <f>105*80/100</f>
        <v>84</v>
      </c>
      <c r="L24" s="125">
        <f>105*80/100</f>
        <v>84</v>
      </c>
      <c r="M24" s="162">
        <f>200*80/100</f>
        <v>160</v>
      </c>
      <c r="N24" s="159">
        <f>150*80/100</f>
        <v>120</v>
      </c>
      <c r="O24" s="125">
        <f>150*80/100</f>
        <v>120</v>
      </c>
      <c r="P24" s="111">
        <f>255*80/100</f>
        <v>204</v>
      </c>
    </row>
    <row r="25" spans="2:16" ht="3" customHeight="1" thickBot="1" x14ac:dyDescent="0.3">
      <c r="B25" s="112"/>
      <c r="C25" s="297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98"/>
    </row>
    <row r="26" spans="2:16" ht="12" customHeight="1" x14ac:dyDescent="0.25">
      <c r="B26" s="288" t="s">
        <v>83</v>
      </c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90"/>
    </row>
    <row r="27" spans="2:16" ht="12" customHeight="1" x14ac:dyDescent="0.25">
      <c r="B27" s="270" t="s">
        <v>13</v>
      </c>
      <c r="C27" s="74" t="s">
        <v>14</v>
      </c>
      <c r="D27" s="291" t="s">
        <v>20</v>
      </c>
      <c r="E27" s="77">
        <v>100</v>
      </c>
      <c r="F27" s="77">
        <v>70</v>
      </c>
      <c r="G27" s="157" t="s">
        <v>85</v>
      </c>
      <c r="H27" s="150">
        <v>45</v>
      </c>
      <c r="I27" s="74">
        <v>45</v>
      </c>
      <c r="J27" s="158"/>
      <c r="K27" s="150">
        <v>60</v>
      </c>
      <c r="L27" s="74">
        <v>60</v>
      </c>
      <c r="M27" s="158"/>
      <c r="N27" s="150">
        <v>70</v>
      </c>
      <c r="O27" s="74">
        <v>70</v>
      </c>
      <c r="P27" s="75"/>
    </row>
    <row r="28" spans="2:16" x14ac:dyDescent="0.25">
      <c r="B28" s="270"/>
      <c r="C28" s="74" t="s">
        <v>55</v>
      </c>
      <c r="D28" s="293"/>
      <c r="E28" s="77">
        <v>150</v>
      </c>
      <c r="F28" s="77">
        <v>70</v>
      </c>
      <c r="G28" s="157" t="s">
        <v>85</v>
      </c>
      <c r="H28" s="150">
        <v>50</v>
      </c>
      <c r="I28" s="74">
        <v>50</v>
      </c>
      <c r="J28" s="158"/>
      <c r="K28" s="150">
        <v>70</v>
      </c>
      <c r="L28" s="74">
        <v>70</v>
      </c>
      <c r="M28" s="158"/>
      <c r="N28" s="150">
        <v>90</v>
      </c>
      <c r="O28" s="74">
        <v>90</v>
      </c>
      <c r="P28" s="75"/>
    </row>
    <row r="29" spans="2:16" x14ac:dyDescent="0.25">
      <c r="B29" s="270"/>
      <c r="C29" s="74"/>
      <c r="D29" s="105"/>
      <c r="E29" s="77">
        <v>200</v>
      </c>
      <c r="F29" s="127">
        <v>70</v>
      </c>
      <c r="G29" s="157" t="s">
        <v>85</v>
      </c>
      <c r="H29" s="150">
        <v>60</v>
      </c>
      <c r="I29" s="74">
        <v>60</v>
      </c>
      <c r="J29" s="158"/>
      <c r="K29" s="150">
        <v>90</v>
      </c>
      <c r="L29" s="74">
        <v>90</v>
      </c>
      <c r="M29" s="158"/>
      <c r="N29" s="150">
        <v>120</v>
      </c>
      <c r="O29" s="74">
        <v>120</v>
      </c>
      <c r="P29" s="75"/>
    </row>
    <row r="30" spans="2:16" x14ac:dyDescent="0.25">
      <c r="B30" s="270"/>
      <c r="C30" s="74"/>
      <c r="D30" s="105"/>
      <c r="E30" s="77">
        <v>250</v>
      </c>
      <c r="F30" s="127">
        <v>70</v>
      </c>
      <c r="G30" s="157" t="s">
        <v>85</v>
      </c>
      <c r="H30" s="150">
        <v>70</v>
      </c>
      <c r="I30" s="74">
        <v>70</v>
      </c>
      <c r="J30" s="158"/>
      <c r="K30" s="150">
        <v>105</v>
      </c>
      <c r="L30" s="74">
        <v>105</v>
      </c>
      <c r="M30" s="158"/>
      <c r="N30" s="150">
        <v>150</v>
      </c>
      <c r="O30" s="74">
        <v>150</v>
      </c>
      <c r="P30" s="75"/>
    </row>
    <row r="31" spans="2:16" ht="12.75" thickBot="1" x14ac:dyDescent="0.3">
      <c r="B31" s="271"/>
      <c r="C31" s="76"/>
      <c r="D31" s="110"/>
      <c r="E31" s="76"/>
      <c r="F31" s="76"/>
      <c r="G31" s="162"/>
      <c r="H31" s="159"/>
      <c r="I31" s="76"/>
      <c r="J31" s="162"/>
      <c r="K31" s="159"/>
      <c r="L31" s="76"/>
      <c r="M31" s="162"/>
      <c r="N31" s="159"/>
      <c r="O31" s="76"/>
      <c r="P31" s="111"/>
    </row>
    <row r="32" spans="2:16" hidden="1" x14ac:dyDescent="0.25">
      <c r="B32" s="89"/>
      <c r="C32" s="299" t="s">
        <v>62</v>
      </c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</row>
    <row r="33" spans="2:16" hidden="1" x14ac:dyDescent="0.25">
      <c r="B33" s="74"/>
      <c r="C33" s="9" t="s">
        <v>63</v>
      </c>
      <c r="D33" s="9" t="s">
        <v>8</v>
      </c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</row>
    <row r="34" spans="2:16" ht="24" hidden="1" x14ac:dyDescent="0.25">
      <c r="B34" s="74"/>
      <c r="C34" s="74" t="s">
        <v>52</v>
      </c>
      <c r="D34" s="74">
        <v>3010.7739999999999</v>
      </c>
      <c r="E34" s="10">
        <v>100</v>
      </c>
      <c r="F34" s="10">
        <v>1270</v>
      </c>
      <c r="G34" s="10" t="s">
        <v>64</v>
      </c>
      <c r="H34" s="74">
        <f>100*85/100</f>
        <v>85</v>
      </c>
      <c r="I34" s="74">
        <f>70*85/100</f>
        <v>59.5</v>
      </c>
      <c r="J34" s="74">
        <f>35*85/100</f>
        <v>29.75</v>
      </c>
      <c r="K34" s="74">
        <f>110*85/100</f>
        <v>93.5</v>
      </c>
      <c r="L34" s="74">
        <f>85*85/100</f>
        <v>72.25</v>
      </c>
      <c r="M34" s="74">
        <f>50*85/100</f>
        <v>42.5</v>
      </c>
      <c r="N34" s="74">
        <f>140*85/100</f>
        <v>119</v>
      </c>
      <c r="O34" s="74">
        <f>100*85/100</f>
        <v>85</v>
      </c>
      <c r="P34" s="74">
        <f>60*85/100</f>
        <v>51</v>
      </c>
    </row>
    <row r="35" spans="2:16" ht="24" hidden="1" x14ac:dyDescent="0.25">
      <c r="B35" s="74"/>
      <c r="C35" s="74" t="s">
        <v>49</v>
      </c>
      <c r="D35" s="74">
        <v>11492.694</v>
      </c>
      <c r="E35" s="10">
        <v>150</v>
      </c>
      <c r="F35" s="10">
        <v>1270</v>
      </c>
      <c r="G35" s="10" t="s">
        <v>64</v>
      </c>
      <c r="H35" s="74">
        <f>100*85/100</f>
        <v>85</v>
      </c>
      <c r="I35" s="74">
        <f>90*85/100</f>
        <v>76.5</v>
      </c>
      <c r="J35" s="74">
        <f>40*85/100</f>
        <v>34</v>
      </c>
      <c r="K35" s="74">
        <f>200*85/100</f>
        <v>170</v>
      </c>
      <c r="L35" s="74">
        <f>200*85/100</f>
        <v>170</v>
      </c>
      <c r="M35" s="74">
        <f>60*85/100</f>
        <v>51</v>
      </c>
      <c r="N35" s="74">
        <f>280*85/100</f>
        <v>238</v>
      </c>
      <c r="O35" s="74">
        <f>230*85/100</f>
        <v>195.5</v>
      </c>
      <c r="P35" s="74">
        <f>70*85/100</f>
        <v>59.5</v>
      </c>
    </row>
    <row r="36" spans="2:16" ht="24" hidden="1" x14ac:dyDescent="0.25">
      <c r="B36" s="74"/>
      <c r="C36" s="74" t="s">
        <v>47</v>
      </c>
      <c r="D36" s="74">
        <v>5058.5889999999999</v>
      </c>
      <c r="E36" s="10">
        <v>200</v>
      </c>
      <c r="F36" s="10">
        <v>1270</v>
      </c>
      <c r="G36" s="10" t="s">
        <v>64</v>
      </c>
      <c r="H36" s="74">
        <f>100*85/100</f>
        <v>85</v>
      </c>
      <c r="I36" s="74">
        <f t="shared" ref="I36:I37" si="0">90*85/100</f>
        <v>76.5</v>
      </c>
      <c r="J36" s="74">
        <f>50*85/100</f>
        <v>42.5</v>
      </c>
      <c r="K36" s="74">
        <f>270*85/100</f>
        <v>229.5</v>
      </c>
      <c r="L36" s="74">
        <f>235*85/100</f>
        <v>199.75</v>
      </c>
      <c r="M36" s="74">
        <f>70*85/100</f>
        <v>59.5</v>
      </c>
      <c r="N36" s="74">
        <f>380*85/100</f>
        <v>323</v>
      </c>
      <c r="O36" s="74">
        <f>380*85/100</f>
        <v>323</v>
      </c>
      <c r="P36" s="74">
        <f>95*85/100</f>
        <v>80.75</v>
      </c>
    </row>
    <row r="37" spans="2:16" ht="24" hidden="1" x14ac:dyDescent="0.25">
      <c r="B37" s="74"/>
      <c r="C37" s="74" t="s">
        <v>50</v>
      </c>
      <c r="D37" s="74">
        <v>2782.8240000000001</v>
      </c>
      <c r="E37" s="74">
        <v>250</v>
      </c>
      <c r="F37" s="74">
        <v>1270</v>
      </c>
      <c r="G37" s="10" t="s">
        <v>64</v>
      </c>
      <c r="H37" s="74">
        <f>100*85/100</f>
        <v>85</v>
      </c>
      <c r="I37" s="74">
        <f t="shared" si="0"/>
        <v>76.5</v>
      </c>
      <c r="J37" s="74">
        <f>60*85/100</f>
        <v>51</v>
      </c>
      <c r="K37" s="74">
        <f>270*85/100</f>
        <v>229.5</v>
      </c>
      <c r="L37" s="74">
        <f>235*85/100</f>
        <v>199.75</v>
      </c>
      <c r="M37" s="74">
        <f>85*85/100</f>
        <v>72.25</v>
      </c>
      <c r="N37" s="74">
        <f>445*85/100</f>
        <v>378.25</v>
      </c>
      <c r="O37" s="74">
        <f>410*85/100</f>
        <v>348.5</v>
      </c>
      <c r="P37" s="74">
        <f>120*85/100</f>
        <v>102</v>
      </c>
    </row>
    <row r="38" spans="2:16" hidden="1" x14ac:dyDescent="0.25">
      <c r="B38" s="74"/>
      <c r="C38" s="74" t="s">
        <v>15</v>
      </c>
      <c r="D38" s="74">
        <f>D34+D35+D36+D37</f>
        <v>22344.881000000001</v>
      </c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2:16" hidden="1" x14ac:dyDescent="0.25">
      <c r="B39" s="74"/>
      <c r="C39" s="74"/>
      <c r="D39" s="8" t="s">
        <v>20</v>
      </c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</row>
    <row r="40" spans="2:16" hidden="1" x14ac:dyDescent="0.25">
      <c r="B40" s="74"/>
      <c r="C40" s="74" t="s">
        <v>11</v>
      </c>
      <c r="D40" s="74">
        <v>4477.0050000000001</v>
      </c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2:16" ht="3" customHeight="1" thickBot="1" x14ac:dyDescent="0.3">
      <c r="B41" s="272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4"/>
    </row>
    <row r="42" spans="2:16" ht="12" customHeight="1" x14ac:dyDescent="0.25">
      <c r="B42" s="288" t="s">
        <v>84</v>
      </c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90"/>
    </row>
    <row r="43" spans="2:16" ht="12" customHeight="1" x14ac:dyDescent="0.25">
      <c r="B43" s="270" t="s">
        <v>13</v>
      </c>
      <c r="C43" s="74" t="s">
        <v>55</v>
      </c>
      <c r="D43" s="291" t="s">
        <v>8</v>
      </c>
      <c r="E43" s="77">
        <v>100</v>
      </c>
      <c r="F43" s="77">
        <v>1100</v>
      </c>
      <c r="G43" s="157" t="s">
        <v>85</v>
      </c>
      <c r="H43" s="150">
        <f>100*85/100</f>
        <v>85</v>
      </c>
      <c r="I43" s="74">
        <f>70*85/100</f>
        <v>59.5</v>
      </c>
      <c r="J43" s="158"/>
      <c r="K43" s="150">
        <f>110*85/100</f>
        <v>93.5</v>
      </c>
      <c r="L43" s="74">
        <f>85*85/100</f>
        <v>72.25</v>
      </c>
      <c r="M43" s="158"/>
      <c r="N43" s="150">
        <f>140*85/100</f>
        <v>119</v>
      </c>
      <c r="O43" s="74">
        <f>100*85/100</f>
        <v>85</v>
      </c>
      <c r="P43" s="75"/>
    </row>
    <row r="44" spans="2:16" x14ac:dyDescent="0.25">
      <c r="B44" s="270"/>
      <c r="C44" s="74" t="s">
        <v>14</v>
      </c>
      <c r="D44" s="292"/>
      <c r="E44" s="77">
        <v>150</v>
      </c>
      <c r="F44" s="77">
        <v>1100</v>
      </c>
      <c r="G44" s="157" t="s">
        <v>85</v>
      </c>
      <c r="H44" s="150">
        <f>100*85/100</f>
        <v>85</v>
      </c>
      <c r="I44" s="74">
        <f>90*85/100</f>
        <v>76.5</v>
      </c>
      <c r="J44" s="158"/>
      <c r="K44" s="150">
        <f>200*85/100</f>
        <v>170</v>
      </c>
      <c r="L44" s="74">
        <f>200*85/100</f>
        <v>170</v>
      </c>
      <c r="M44" s="158"/>
      <c r="N44" s="150">
        <f>280*85/100</f>
        <v>238</v>
      </c>
      <c r="O44" s="74">
        <f>230*85/100</f>
        <v>195.5</v>
      </c>
      <c r="P44" s="75"/>
    </row>
    <row r="45" spans="2:16" x14ac:dyDescent="0.25">
      <c r="B45" s="270"/>
      <c r="C45" s="74" t="s">
        <v>86</v>
      </c>
      <c r="D45" s="293"/>
      <c r="E45" s="77">
        <v>200</v>
      </c>
      <c r="F45" s="77">
        <v>1100</v>
      </c>
      <c r="G45" s="157" t="s">
        <v>85</v>
      </c>
      <c r="H45" s="150">
        <f>100*85/100</f>
        <v>85</v>
      </c>
      <c r="I45" s="74">
        <f>90*85/100</f>
        <v>76.5</v>
      </c>
      <c r="J45" s="158"/>
      <c r="K45" s="150">
        <f>270*85/100</f>
        <v>229.5</v>
      </c>
      <c r="L45" s="74">
        <f>235*85/100</f>
        <v>199.75</v>
      </c>
      <c r="M45" s="158"/>
      <c r="N45" s="150">
        <f>380*85/100</f>
        <v>323</v>
      </c>
      <c r="O45" s="74">
        <f>380*85/100</f>
        <v>323</v>
      </c>
      <c r="P45" s="75"/>
    </row>
    <row r="46" spans="2:16" ht="12.75" thickBot="1" x14ac:dyDescent="0.3">
      <c r="B46" s="271"/>
      <c r="C46" s="113"/>
      <c r="D46" s="113"/>
      <c r="E46" s="91">
        <v>250</v>
      </c>
      <c r="F46" s="91">
        <v>1100</v>
      </c>
      <c r="G46" s="164" t="s">
        <v>85</v>
      </c>
      <c r="H46" s="150">
        <f>100*85/100</f>
        <v>85</v>
      </c>
      <c r="I46" s="123">
        <f>90*85/100</f>
        <v>76.5</v>
      </c>
      <c r="J46" s="162"/>
      <c r="K46" s="150">
        <f>270*85/100</f>
        <v>229.5</v>
      </c>
      <c r="L46" s="123">
        <f>235*85/100</f>
        <v>199.75</v>
      </c>
      <c r="M46" s="162"/>
      <c r="N46" s="159">
        <f>445*85/100</f>
        <v>378.25</v>
      </c>
      <c r="O46" s="76">
        <f>410*85/100</f>
        <v>348.5</v>
      </c>
      <c r="P46" s="111"/>
    </row>
    <row r="47" spans="2:16" ht="3" customHeight="1" thickBot="1" x14ac:dyDescent="0.3">
      <c r="B47" s="284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286"/>
    </row>
    <row r="48" spans="2:16" ht="12" customHeight="1" thickBot="1" x14ac:dyDescent="0.3">
      <c r="B48" s="275" t="s">
        <v>62</v>
      </c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7"/>
    </row>
    <row r="49" spans="2:16" ht="12" customHeight="1" x14ac:dyDescent="0.25">
      <c r="B49" s="278" t="s">
        <v>63</v>
      </c>
      <c r="C49" s="72" t="s">
        <v>52</v>
      </c>
      <c r="D49" s="279" t="s">
        <v>8</v>
      </c>
      <c r="E49" s="78">
        <v>100</v>
      </c>
      <c r="F49" s="78">
        <v>1270</v>
      </c>
      <c r="G49" s="163" t="s">
        <v>69</v>
      </c>
      <c r="H49" s="149">
        <f>100*85/100</f>
        <v>85</v>
      </c>
      <c r="I49" s="72">
        <f>70*85/100</f>
        <v>59.5</v>
      </c>
      <c r="J49" s="161">
        <f>35*85/100</f>
        <v>29.75</v>
      </c>
      <c r="K49" s="149">
        <f>110*85/100</f>
        <v>93.5</v>
      </c>
      <c r="L49" s="72">
        <f>85*85/100</f>
        <v>72.25</v>
      </c>
      <c r="M49" s="161">
        <f>50*85/100</f>
        <v>42.5</v>
      </c>
      <c r="N49" s="149">
        <f>140*85/100</f>
        <v>119</v>
      </c>
      <c r="O49" s="72">
        <f>100*85/100</f>
        <v>85</v>
      </c>
      <c r="P49" s="73">
        <f>60*85/100</f>
        <v>51</v>
      </c>
    </row>
    <row r="50" spans="2:16" x14ac:dyDescent="0.25">
      <c r="B50" s="270"/>
      <c r="C50" s="74" t="s">
        <v>49</v>
      </c>
      <c r="D50" s="280"/>
      <c r="E50" s="77">
        <v>150</v>
      </c>
      <c r="F50" s="77">
        <v>1270</v>
      </c>
      <c r="G50" s="157" t="s">
        <v>69</v>
      </c>
      <c r="H50" s="150">
        <f>100*85/100</f>
        <v>85</v>
      </c>
      <c r="I50" s="74">
        <f>90*85/100</f>
        <v>76.5</v>
      </c>
      <c r="J50" s="158">
        <f>40*85/100</f>
        <v>34</v>
      </c>
      <c r="K50" s="150">
        <f>200*85/100</f>
        <v>170</v>
      </c>
      <c r="L50" s="74">
        <f>200*85/100</f>
        <v>170</v>
      </c>
      <c r="M50" s="158">
        <f>60*85/100</f>
        <v>51</v>
      </c>
      <c r="N50" s="150">
        <f>280*85/100</f>
        <v>238</v>
      </c>
      <c r="O50" s="74">
        <f>230*85/100</f>
        <v>195.5</v>
      </c>
      <c r="P50" s="75">
        <f>70*85/100</f>
        <v>59.5</v>
      </c>
    </row>
    <row r="51" spans="2:16" x14ac:dyDescent="0.25">
      <c r="B51" s="270"/>
      <c r="C51" s="74" t="s">
        <v>47</v>
      </c>
      <c r="D51" s="280"/>
      <c r="E51" s="77">
        <v>200</v>
      </c>
      <c r="F51" s="77">
        <v>1270</v>
      </c>
      <c r="G51" s="157" t="s">
        <v>69</v>
      </c>
      <c r="H51" s="150">
        <f>100*85/100</f>
        <v>85</v>
      </c>
      <c r="I51" s="74">
        <f t="shared" ref="I51:I52" si="1">90*85/100</f>
        <v>76.5</v>
      </c>
      <c r="J51" s="158">
        <f>50*85/100</f>
        <v>42.5</v>
      </c>
      <c r="K51" s="150">
        <f>270*85/100</f>
        <v>229.5</v>
      </c>
      <c r="L51" s="74">
        <f>235*85/100</f>
        <v>199.75</v>
      </c>
      <c r="M51" s="158">
        <f>70*85/100</f>
        <v>59.5</v>
      </c>
      <c r="N51" s="150">
        <f>380*85/100</f>
        <v>323</v>
      </c>
      <c r="O51" s="74">
        <f>380*85/100</f>
        <v>323</v>
      </c>
      <c r="P51" s="75">
        <f>95*85/100</f>
        <v>80.75</v>
      </c>
    </row>
    <row r="52" spans="2:16" x14ac:dyDescent="0.25">
      <c r="B52" s="270"/>
      <c r="C52" s="74" t="s">
        <v>50</v>
      </c>
      <c r="D52" s="280"/>
      <c r="E52" s="74">
        <v>250</v>
      </c>
      <c r="F52" s="74">
        <v>1270</v>
      </c>
      <c r="G52" s="154" t="s">
        <v>69</v>
      </c>
      <c r="H52" s="150">
        <f>100*85/100</f>
        <v>85</v>
      </c>
      <c r="I52" s="74">
        <f t="shared" si="1"/>
        <v>76.5</v>
      </c>
      <c r="J52" s="158">
        <f>60*85/100</f>
        <v>51</v>
      </c>
      <c r="K52" s="150">
        <f>270*85/100</f>
        <v>229.5</v>
      </c>
      <c r="L52" s="74">
        <f>235*85/100</f>
        <v>199.75</v>
      </c>
      <c r="M52" s="158">
        <f>85*85/100</f>
        <v>72.25</v>
      </c>
      <c r="N52" s="150">
        <f>445*85/100</f>
        <v>378.25</v>
      </c>
      <c r="O52" s="74">
        <f>410*85/100</f>
        <v>348.5</v>
      </c>
      <c r="P52" s="75">
        <f>120*85/100</f>
        <v>102</v>
      </c>
    </row>
    <row r="53" spans="2:16" ht="12.75" thickBot="1" x14ac:dyDescent="0.3">
      <c r="B53" s="271"/>
      <c r="C53" s="76" t="s">
        <v>11</v>
      </c>
      <c r="D53" s="110" t="s">
        <v>20</v>
      </c>
      <c r="E53" s="76"/>
      <c r="F53" s="76"/>
      <c r="G53" s="162"/>
      <c r="H53" s="159"/>
      <c r="I53" s="76"/>
      <c r="J53" s="162"/>
      <c r="K53" s="159"/>
      <c r="L53" s="76"/>
      <c r="M53" s="162"/>
      <c r="N53" s="159"/>
      <c r="O53" s="76"/>
      <c r="P53" s="111"/>
    </row>
    <row r="54" spans="2:16" ht="18.75" customHeight="1" thickBot="1" x14ac:dyDescent="0.3">
      <c r="B54" s="182" t="s">
        <v>66</v>
      </c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3" customHeight="1" thickBot="1" x14ac:dyDescent="0.3">
      <c r="B55" s="284"/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285"/>
      <c r="P55" s="286"/>
    </row>
    <row r="56" spans="2:16" ht="12" customHeight="1" thickBot="1" x14ac:dyDescent="0.3">
      <c r="B56" s="275" t="s">
        <v>62</v>
      </c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7"/>
    </row>
    <row r="57" spans="2:16" ht="12" customHeight="1" x14ac:dyDescent="0.25">
      <c r="B57" s="278" t="s">
        <v>63</v>
      </c>
      <c r="C57" s="134" t="s">
        <v>52</v>
      </c>
      <c r="D57" s="279" t="s">
        <v>54</v>
      </c>
      <c r="E57" s="143">
        <v>100</v>
      </c>
      <c r="F57" s="143">
        <v>1270</v>
      </c>
      <c r="G57" s="143" t="s">
        <v>69</v>
      </c>
      <c r="H57" s="134">
        <f>80*85/100</f>
        <v>68</v>
      </c>
      <c r="I57" s="134">
        <f>80*85/100</f>
        <v>68</v>
      </c>
      <c r="J57" s="134">
        <f>45*85/100</f>
        <v>38.25</v>
      </c>
      <c r="K57" s="134">
        <f>95*85/100</f>
        <v>80.75</v>
      </c>
      <c r="L57" s="134">
        <f>95*85/100</f>
        <v>80.75</v>
      </c>
      <c r="M57" s="134">
        <f>70*85/100</f>
        <v>59.5</v>
      </c>
      <c r="N57" s="134">
        <f>130*85/100</f>
        <v>110.5</v>
      </c>
      <c r="O57" s="134">
        <f>120*85/100</f>
        <v>102</v>
      </c>
      <c r="P57" s="135">
        <f>70*85/100</f>
        <v>59.5</v>
      </c>
    </row>
    <row r="58" spans="2:16" x14ac:dyDescent="0.25">
      <c r="B58" s="270"/>
      <c r="C58" s="136" t="s">
        <v>49</v>
      </c>
      <c r="D58" s="280"/>
      <c r="E58" s="144">
        <v>150</v>
      </c>
      <c r="F58" s="144">
        <v>1270</v>
      </c>
      <c r="G58" s="144" t="s">
        <v>69</v>
      </c>
      <c r="H58" s="136">
        <f>135*85/100</f>
        <v>114.75</v>
      </c>
      <c r="I58" s="136">
        <f>120*85/100</f>
        <v>102</v>
      </c>
      <c r="J58" s="136">
        <f>55*85/100</f>
        <v>46.75</v>
      </c>
      <c r="K58" s="136">
        <f>190*85/100</f>
        <v>161.5</v>
      </c>
      <c r="L58" s="136">
        <f>190*85/100</f>
        <v>161.5</v>
      </c>
      <c r="M58" s="136">
        <f>80*85/100</f>
        <v>68</v>
      </c>
      <c r="N58" s="136">
        <f>220*85/100</f>
        <v>187</v>
      </c>
      <c r="O58" s="136">
        <f>220*85/100</f>
        <v>187</v>
      </c>
      <c r="P58" s="137">
        <f>85*85/100</f>
        <v>72.25</v>
      </c>
    </row>
    <row r="59" spans="2:16" x14ac:dyDescent="0.25">
      <c r="B59" s="270"/>
      <c r="C59" s="136" t="s">
        <v>47</v>
      </c>
      <c r="D59" s="280"/>
      <c r="E59" s="144">
        <v>200</v>
      </c>
      <c r="F59" s="144">
        <v>1270</v>
      </c>
      <c r="G59" s="144" t="s">
        <v>69</v>
      </c>
      <c r="H59" s="136">
        <f>135*85/100</f>
        <v>114.75</v>
      </c>
      <c r="I59" s="136">
        <f t="shared" ref="I59:I60" si="2">120*85/100</f>
        <v>102</v>
      </c>
      <c r="J59" s="136">
        <f>70*85/100</f>
        <v>59.5</v>
      </c>
      <c r="K59" s="136">
        <f>270*85/100</f>
        <v>229.5</v>
      </c>
      <c r="L59" s="136">
        <f>270*85/100</f>
        <v>229.5</v>
      </c>
      <c r="M59" s="136">
        <f>95*85/100</f>
        <v>80.75</v>
      </c>
      <c r="N59" s="136">
        <f>290*85/100</f>
        <v>246.5</v>
      </c>
      <c r="O59" s="136">
        <f>290*85/100</f>
        <v>246.5</v>
      </c>
      <c r="P59" s="137">
        <f>115*85/100</f>
        <v>97.75</v>
      </c>
    </row>
    <row r="60" spans="2:16" x14ac:dyDescent="0.25">
      <c r="B60" s="270"/>
      <c r="C60" s="136" t="s">
        <v>48</v>
      </c>
      <c r="D60" s="280"/>
      <c r="E60" s="144">
        <v>250</v>
      </c>
      <c r="F60" s="144">
        <v>1270</v>
      </c>
      <c r="G60" s="144" t="s">
        <v>69</v>
      </c>
      <c r="H60" s="136">
        <f>135*85/100</f>
        <v>114.75</v>
      </c>
      <c r="I60" s="136">
        <f t="shared" si="2"/>
        <v>102</v>
      </c>
      <c r="J60" s="136">
        <f>80*85/100</f>
        <v>68</v>
      </c>
      <c r="K60" s="136">
        <f>340*85/100</f>
        <v>289</v>
      </c>
      <c r="L60" s="136">
        <f>290*85/100</f>
        <v>246.5</v>
      </c>
      <c r="M60" s="136">
        <f>115*85/100</f>
        <v>97.75</v>
      </c>
      <c r="N60" s="136">
        <f>380*85/100</f>
        <v>323</v>
      </c>
      <c r="O60" s="136">
        <f>380*85/100</f>
        <v>323</v>
      </c>
      <c r="P60" s="137">
        <f>145*85/100</f>
        <v>123.25</v>
      </c>
    </row>
    <row r="61" spans="2:16" x14ac:dyDescent="0.25">
      <c r="B61" s="270"/>
      <c r="C61" s="136" t="s">
        <v>50</v>
      </c>
      <c r="D61" s="280"/>
      <c r="E61" s="136"/>
      <c r="F61" s="136"/>
      <c r="G61" s="144"/>
      <c r="H61" s="136"/>
      <c r="I61" s="136"/>
      <c r="J61" s="136"/>
      <c r="K61" s="136"/>
      <c r="L61" s="136"/>
      <c r="M61" s="136"/>
      <c r="N61" s="136"/>
      <c r="O61" s="136"/>
      <c r="P61" s="137"/>
    </row>
    <row r="62" spans="2:16" ht="12.75" thickBot="1" x14ac:dyDescent="0.3">
      <c r="B62" s="271"/>
      <c r="C62" s="138" t="s">
        <v>11</v>
      </c>
      <c r="D62" s="110" t="s">
        <v>20</v>
      </c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11"/>
    </row>
    <row r="63" spans="2:16" ht="12.75" thickBot="1" x14ac:dyDescent="0.3">
      <c r="B63" s="281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3"/>
    </row>
    <row r="69" spans="1:16" ht="31.5" customHeight="1" x14ac:dyDescent="0.25">
      <c r="C69" s="29" t="s">
        <v>71</v>
      </c>
      <c r="D69" s="29"/>
      <c r="E69" s="64"/>
      <c r="F69" s="64"/>
      <c r="G69" s="64"/>
      <c r="H69" s="64"/>
      <c r="I69" s="64"/>
      <c r="J69" s="188" t="s">
        <v>70</v>
      </c>
      <c r="K69" s="188"/>
      <c r="L69" s="188"/>
      <c r="M69" s="188"/>
      <c r="N69" s="188"/>
      <c r="O69" s="188"/>
      <c r="P69" s="188"/>
    </row>
    <row r="71" spans="1:16" s="96" customFormat="1" ht="15" customHeight="1" x14ac:dyDescent="0.25">
      <c r="G71" s="234"/>
      <c r="H71" s="234"/>
    </row>
    <row r="72" spans="1:16" ht="15" customHeight="1" x14ac:dyDescent="0.25">
      <c r="A72" s="204">
        <v>21</v>
      </c>
      <c r="B72" s="204"/>
      <c r="C72" s="204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</row>
  </sheetData>
  <mergeCells count="44">
    <mergeCell ref="A72:P72"/>
    <mergeCell ref="N1:P1"/>
    <mergeCell ref="N4:P4"/>
    <mergeCell ref="B6:C8"/>
    <mergeCell ref="D6:D8"/>
    <mergeCell ref="E6:E8"/>
    <mergeCell ref="F6:F8"/>
    <mergeCell ref="G6:G8"/>
    <mergeCell ref="H6:J6"/>
    <mergeCell ref="K6:M6"/>
    <mergeCell ref="N6:P6"/>
    <mergeCell ref="H7:J7"/>
    <mergeCell ref="K7:M7"/>
    <mergeCell ref="N7:P7"/>
    <mergeCell ref="B9:P9"/>
    <mergeCell ref="B10:P10"/>
    <mergeCell ref="B11:B24"/>
    <mergeCell ref="B26:P26"/>
    <mergeCell ref="J69:P69"/>
    <mergeCell ref="B47:P47"/>
    <mergeCell ref="D43:D45"/>
    <mergeCell ref="D27:D28"/>
    <mergeCell ref="D12:D13"/>
    <mergeCell ref="C15:P15"/>
    <mergeCell ref="D17:D18"/>
    <mergeCell ref="C20:P20"/>
    <mergeCell ref="D22:D23"/>
    <mergeCell ref="C25:P25"/>
    <mergeCell ref="B27:B31"/>
    <mergeCell ref="C32:P32"/>
    <mergeCell ref="E33:P33"/>
    <mergeCell ref="B42:P42"/>
    <mergeCell ref="B43:B46"/>
    <mergeCell ref="B41:P41"/>
    <mergeCell ref="G71:H71"/>
    <mergeCell ref="B48:P48"/>
    <mergeCell ref="B49:B53"/>
    <mergeCell ref="D49:D52"/>
    <mergeCell ref="B63:P63"/>
    <mergeCell ref="B54:P54"/>
    <mergeCell ref="B55:P55"/>
    <mergeCell ref="B56:P56"/>
    <mergeCell ref="B57:B62"/>
    <mergeCell ref="D57:D61"/>
  </mergeCells>
  <pageMargins left="0.31496062992125984" right="0.31496062992125984" top="0.15748031496062992" bottom="0.15748031496062992" header="0.31496062992125984" footer="0.31496062992125984"/>
  <pageSetup paperSize="9"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1"/>
  <sheetViews>
    <sheetView workbookViewId="0">
      <selection activeCell="D8" sqref="D8"/>
    </sheetView>
  </sheetViews>
  <sheetFormatPr defaultColWidth="21" defaultRowHeight="15" x14ac:dyDescent="0.25"/>
  <cols>
    <col min="1" max="1" width="13.28515625" style="6" customWidth="1"/>
    <col min="2" max="7" width="11.5703125" style="6" customWidth="1"/>
    <col min="8" max="16384" width="21" style="6"/>
  </cols>
  <sheetData>
    <row r="3" spans="2:7" ht="30.75" customHeight="1" x14ac:dyDescent="0.25">
      <c r="B3" s="308" t="s">
        <v>44</v>
      </c>
      <c r="C3" s="309"/>
      <c r="D3" s="309"/>
      <c r="E3" s="309"/>
      <c r="F3" s="309"/>
      <c r="G3" s="310"/>
    </row>
    <row r="4" spans="2:7" ht="35.25" customHeight="1" x14ac:dyDescent="0.25">
      <c r="B4" s="306" t="s">
        <v>25</v>
      </c>
      <c r="C4" s="307"/>
      <c r="D4" s="306" t="s">
        <v>26</v>
      </c>
      <c r="E4" s="307"/>
      <c r="F4" s="306" t="s">
        <v>27</v>
      </c>
      <c r="G4" s="307"/>
    </row>
    <row r="5" spans="2:7" ht="22.5" customHeight="1" x14ac:dyDescent="0.25">
      <c r="B5" s="7" t="s">
        <v>30</v>
      </c>
      <c r="C5" s="7" t="s">
        <v>31</v>
      </c>
      <c r="D5" s="7" t="s">
        <v>30</v>
      </c>
      <c r="E5" s="7" t="s">
        <v>31</v>
      </c>
      <c r="F5" s="7" t="s">
        <v>30</v>
      </c>
      <c r="G5" s="7" t="s">
        <v>31</v>
      </c>
    </row>
    <row r="6" spans="2:7" ht="22.5" customHeight="1" x14ac:dyDescent="0.25">
      <c r="B6" s="7" t="s">
        <v>29</v>
      </c>
      <c r="C6" s="7">
        <v>81462</v>
      </c>
      <c r="D6" s="7" t="s">
        <v>32</v>
      </c>
      <c r="E6" s="7">
        <v>81631</v>
      </c>
      <c r="F6" s="7">
        <v>1577</v>
      </c>
      <c r="G6" s="7" t="s">
        <v>41</v>
      </c>
    </row>
    <row r="7" spans="2:7" ht="22.5" customHeight="1" x14ac:dyDescent="0.25">
      <c r="B7" s="7" t="s">
        <v>28</v>
      </c>
      <c r="C7" s="7"/>
      <c r="D7" s="7">
        <v>621</v>
      </c>
      <c r="E7" s="7" t="s">
        <v>37</v>
      </c>
      <c r="F7" s="7"/>
      <c r="G7" s="7" t="s">
        <v>42</v>
      </c>
    </row>
    <row r="8" spans="2:7" ht="22.5" customHeight="1" x14ac:dyDescent="0.25">
      <c r="B8" s="7"/>
      <c r="C8" s="7"/>
      <c r="D8" s="7" t="s">
        <v>33</v>
      </c>
      <c r="E8" s="7" t="s">
        <v>38</v>
      </c>
      <c r="F8" s="7"/>
      <c r="G8" s="7" t="s">
        <v>43</v>
      </c>
    </row>
    <row r="9" spans="2:7" ht="22.5" customHeight="1" x14ac:dyDescent="0.25">
      <c r="B9" s="7"/>
      <c r="C9" s="7"/>
      <c r="D9" s="7" t="s">
        <v>34</v>
      </c>
      <c r="E9" s="7" t="s">
        <v>39</v>
      </c>
      <c r="F9" s="7"/>
      <c r="G9" s="7"/>
    </row>
    <row r="10" spans="2:7" ht="22.5" customHeight="1" x14ac:dyDescent="0.25">
      <c r="B10" s="7"/>
      <c r="C10" s="7"/>
      <c r="D10" s="7" t="s">
        <v>35</v>
      </c>
      <c r="E10" s="7">
        <v>16802</v>
      </c>
      <c r="F10" s="7"/>
      <c r="G10" s="7"/>
    </row>
    <row r="11" spans="2:7" ht="22.5" customHeight="1" x14ac:dyDescent="0.25">
      <c r="B11" s="7"/>
      <c r="C11" s="7"/>
      <c r="D11" s="7" t="s">
        <v>36</v>
      </c>
      <c r="E11" s="7" t="s">
        <v>40</v>
      </c>
      <c r="F11" s="7"/>
      <c r="G11" s="7"/>
    </row>
  </sheetData>
  <mergeCells count="4">
    <mergeCell ref="B4:C4"/>
    <mergeCell ref="D4:E4"/>
    <mergeCell ref="B3:G3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загрузка (налив) осетрово базис</vt:lpstr>
      <vt:lpstr>индигирка яна </vt:lpstr>
      <vt:lpstr>колыма анабар тикси найба</vt:lpstr>
      <vt:lpstr>Лист1</vt:lpstr>
      <vt:lpstr>группы судов</vt:lpstr>
      <vt:lpstr>'загрузка (налив) осетрово базис'!Область_печати</vt:lpstr>
      <vt:lpstr>'индигирка яна '!Область_печати</vt:lpstr>
      <vt:lpstr>'колыма анабар тикси найба'!Область_печати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NetUser</dc:creator>
  <cp:lastModifiedBy>Михайлов Глеб Валентинович</cp:lastModifiedBy>
  <cp:lastPrinted>2018-07-19T23:46:38Z</cp:lastPrinted>
  <dcterms:created xsi:type="dcterms:W3CDTF">2016-11-10T01:44:57Z</dcterms:created>
  <dcterms:modified xsi:type="dcterms:W3CDTF">2025-03-12T06:04:20Z</dcterms:modified>
</cp:coreProperties>
</file>